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Peto\SAF\UCTO 2026\"/>
    </mc:Choice>
  </mc:AlternateContent>
  <xr:revisionPtr revIDLastSave="0" documentId="13_ncr:1_{6D75F46A-6C2E-4784-8492-72B2FFF85799}" xr6:coauthVersionLast="47" xr6:coauthVersionMax="47" xr10:uidLastSave="{00000000-0000-0000-0000-000000000000}"/>
  <bookViews>
    <workbookView xWindow="-110" yWindow="-110" windowWidth="25820" windowHeight="1550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<sst xmlns="http://schemas.openxmlformats.org/spreadsheetml/2006/main" count="2729" uniqueCount="1549">
  <si>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</si>
  <si>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</si>
  <si>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</si>
  <si>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</si>
  <si>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</si>
  <si>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</si>
  <si>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</si>
  <si>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</si>
  <si>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</si>
  <si>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</si>
  <si>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</si>
  <si>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</si>
  <si>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</si>
  <si>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</si>
  <si>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</si>
  <si>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</si>
  <si>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</si>
  <si>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</si>
  <si>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</si>
  <si>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</si>
  <si>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</si>
  <si>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</si>
  <si>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</si>
  <si>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</si>
  <si>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</si>
  <si>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</si>
  <si>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</si>
  <si>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</si>
  <si>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</si>
  <si>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</si>
  <si>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</si>
  <si>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</si>
  <si>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</si>
  <si>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</si>
  <si>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</si>
  <si>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</si>
  <si>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</si>
  <si>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</si>
  <si>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</si>
  <si>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</si>
  <si>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</si>
  <si>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</si>
  <si>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</si>
  <si>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</si>
  <si>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</si>
  <si>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</si>
  <si>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</si>
  <si>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</si>
  <si>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</si>
  <si>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</si>
  <si>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</si>
  <si>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</si>
  <si>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</si>
  <si>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</si>
  <si>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</si>
  <si>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</si>
  <si>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</si>
  <si>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</si>
  <si>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</si>
  <si>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</si>
  <si>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</si>
  <si>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</si>
  <si>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</si>
  <si>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</si>
  <si>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</si>
  <si>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</si>
  <si>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</si>
  <si>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</si>
  <si>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</si>
  <si>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</si>
  <si>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</si>
  <si>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</si>
  <si>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</si>
  <si>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</si>
  <si>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</si>
  <si>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</si>
  <si>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</si>
  <si>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</si>
  <si>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</si>
  <si>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</si>
  <si>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</si>
  <si>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</si>
  <si>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</si>
  <si>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</si>
  <si>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</si>
  <si>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</si>
  <si>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</si>
  <si>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</si>
  <si>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</si>
  <si>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</si>
  <si>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</si>
  <si>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</si>
  <si>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</si>
  <si>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</si>
  <si>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</si>
  <si>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</si>
  <si>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</si>
  <si>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</si>
  <si>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</si>
  <si>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</si>
  <si>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</si>
  <si>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</si>
  <si>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</si>
  <si>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</si>
  <si>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</si>
  <si>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</si>
  <si>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</si>
  <si>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</si>
  <si>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</si>
  <si>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</si>
  <si>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</si>
  <si>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</si>
  <si>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</si>
  <si>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</si>
  <si>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</si>
  <si>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</si>
  <si>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</si>
  <si>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</si>
  <si>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</si>
  <si>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</si>
  <si>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</si>
  <si>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</si>
  <si>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</si>
  <si>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</si>
  <si>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</si>
  <si>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</si>
  <si>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</si>
  <si>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</si>
  <si>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</si>
  <si>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</si>
  <si>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</si>
  <si>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</si>
  <si>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</si>
  <si>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</si>
  <si>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</si>
  <si>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</si>
  <si>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</si>
  <si>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</si>
  <si>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</si>
  <si>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</si>
  <si>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</si>
  <si>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</si>
  <si>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</si>
  <si>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</si>
  <si>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</si>
  <si>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</si>
  <si>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</si>
  <si>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</si>
  <si>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</si>
  <si>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</si>
  <si>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</si>
  <si>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</si>
  <si>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</si>
  <si>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</si>
  <si>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</si>
  <si>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</si>
  <si>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</si>
  <si>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</si>
  <si>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</si>
  <si>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</si>
  <si>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</si>
  <si>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</si>
  <si>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</si>
  <si>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</si>
  <si>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</si>
  <si>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</si>
  <si>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</si>
  <si>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</si>
  <si>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</si>
  <si>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</si>
  <si>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</si>
  <si>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</si>
  <si>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</si>
  <si>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</si>
  <si>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</si>
  <si>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</si>
  <si>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</si>
  <si>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</si>
  <si>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</si>
  <si>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</si>
  <si>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</si>
  <si>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</si>
  <si>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</si>
  <si>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</si>
  <si>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</si>
  <si>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</si>
  <si>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</si>
  <si>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</si>
  <si>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</si>
  <si>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</si>
  <si>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</si>
  <si>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</si>
  <si>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</si>
  <si>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</si>
  <si>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</si>
  <si>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</si>
  <si>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</si>
  <si>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</si>
  <si>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</si>
  <si>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</si>
  <si>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</si>
  <si>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</si>
  <si>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</si>
  <si>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</si>
  <si>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</si>
  <si>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</si>
  <si>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</si>
  <si>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</si>
  <si>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</si>
  <si>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</si>
  <si>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</si>
  <si>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</si>
  <si>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</si>
  <si>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</si>
  <si>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</si>
  <si>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</si>
  <si>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</si>
  <si>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</si>
  <si>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</si>
  <si>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</si>
  <si>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</si>
  <si>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</si>
  <si>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</si>
  <si>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</si>
  <si>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</si>
  <si>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</si>
  <si>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</si>
  <si>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</si>
  <si>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</si>
  <si>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</si>
  <si>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</si>
  <si>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</si>
  <si>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</si>
  <si>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</si>
  <si>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</si>
  <si>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</si>
  <si>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</si>
  <si>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</si>
  <si>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</si>
  <si>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</si>
  <si>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</si>
  <si>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</si>
  <si>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</si>
  <si>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</si>
  <si>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</si>
  <si>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</si>
  <si>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</si>
  <si>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</si>
  <si>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</si>
  <si>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</si>
  <si>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</si>
  <si>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</si>
  <si>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</si>
  <si>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</si>
  <si>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</si>
  <si>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</si>
  <si>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</si>
  <si>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</si>
  <si>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</si>
  <si>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</si>
  <si>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</si>
  <si>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</si>
  <si>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</si>
  <si>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</si>
  <si>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</si>
  <si>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</si>
  <si>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</si>
  <si>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</si>
  <si>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</si>
  <si>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</si>
  <si>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</si>
  <si>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</si>
  <si>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</si>
  <si>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</si>
  <si>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</si>
  <si>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</si>
  <si>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</si>
  <si>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</si>
  <si>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</si>
  <si>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</si>
  <si>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</si>
  <si>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</si>
  <si>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</si>
  <si>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</si>
  <si>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</si>
  <si>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</si>
  <si>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</si>
  <si>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</si>
  <si>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</si>
  <si>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</si>
  <si>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</si>
  <si>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</si>
  <si>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</si>
  <si>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</si>
  <si>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</si>
  <si>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</si>
  <si>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</si>
  <si>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</si>
  <si>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</si>
  <si>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</si>
  <si>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</si>
  <si>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</si>
  <si>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</si>
  <si>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</si>
  <si>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</si>
  <si>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</si>
  <si>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</si>
  <si>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</si>
  <si>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</si>
  <si>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</si>
  <si>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</si>
  <si>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</si>
  <si>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</si>
  <si>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</si>
  <si>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</si>
  <si>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</si>
  <si>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</si>
  <si>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</si>
  <si>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</si>
  <si>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</si>
  <si>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</si>
  <si>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</si>
  <si>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</si>
  <si>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</si>
  <si>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</si>
  <si>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</si>
  <si>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</si>
  <si>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</si>
  <si>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</si>
  <si>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</si>
  <si>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</si>
  <si>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</si>
  <si>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</si>
  <si>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</si>
  <si>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</si>
  <si>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</si>
  <si>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</si>
  <si>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</si>
  <si>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</si>
  <si>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</si>
  <si>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</si>
  <si>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</si>
  <si>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</si>
  <si>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</si>
  <si>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</si>
  <si>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</si>
  <si>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</si>
  <si>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</si>
  <si>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</si>
  <si>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</si>
  <si>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</si>
  <si>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</si>
  <si>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</si>
  <si>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</si>
  <si>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</si>
  <si>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</si>
  <si>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</si>
  <si>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</si>
  <si>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</si>
  <si>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</si>
  <si>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</si>
  <si>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</si>
  <si>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</si>
  <si>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</si>
  <si>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</si>
  <si>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</si>
  <si>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</si>
  <si>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</si>
  <si>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</si>
  <si>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</si>
  <si>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</si>
  <si>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</si>
  <si>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</si>
  <si>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</si>
  <si>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</si>
  <si>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</si>
  <si>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</si>
  <si>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</si>
  <si>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</si>
  <si>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</si>
  <si>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</si>
  <si>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</si>
  <si>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</si>
  <si>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</si>
  <si>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</si>
  <si>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</si>
  <si>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</si>
  <si>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</si>
  <si>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</si>
  <si>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</si>
  <si>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</si>
  <si>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</si>
  <si>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</si>
  <si>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</si>
  <si>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</si>
  <si>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</si>
  <si>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</si>
  <si>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</si>
  <si>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</si>
  <si>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</si>
  <si>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</si>
  <si>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</si>
  <si>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</si>
  <si>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</si>
  <si>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</si>
  <si>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</si>
  <si>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</si>
  <si>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</si>
  <si>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</si>
  <si>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</si>
  <si>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</si>
  <si>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</si>
  <si>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</si>
  <si>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</si>
  <si>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</si>
  <si>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</si>
  <si>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</si>
  <si>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</si>
  <si>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</si>
  <si>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</si>
  <si>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</si>
  <si>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</si>
  <si>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</si>
  <si>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</si>
  <si>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</si>
  <si>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</si>
  <si>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</si>
  <si>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</si>
  <si>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</si>
  <si>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</si>
  <si>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</si>
  <si>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</si>
  <si>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</si>
  <si>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</si>
  <si>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</si>
  <si>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</si>
  <si>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</si>
  <si>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</si>
  <si>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</si>
  <si>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</si>
  <si>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</si>
  <si>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</si>
  <si>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</si>
  <si>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</si>
  <si>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</si>
  <si>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</si>
  <si>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</si>
  <si>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</si>
  <si>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</si>
  <si>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</si>
  <si>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</si>
  <si>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</si>
  <si>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</si>
  <si>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</si>
  <si>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</si>
  <si>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</si>
  <si>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</si>
  <si>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</si>
  <si>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</si>
  <si>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</si>
  <si>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</si>
  <si>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</si>
  <si>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</si>
  <si>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</si>
  <si>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</si>
  <si>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</si>
  <si>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</si>
  <si>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</si>
  <si>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</si>
  <si>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</si>
  <si>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</si>
  <si>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</si>
  <si>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</si>
  <si>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</si>
  <si>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</si>
  <si>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</si>
  <si>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</si>
  <si>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</si>
  <si>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</si>
  <si>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</si>
  <si>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</si>
  <si>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</si>
  <si>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</si>
  <si>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</si>
  <si>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</si>
  <si>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</si>
  <si>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</si>
  <si>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</si>
  <si>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</si>
  <si>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</si>
  <si>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</si>
  <si>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</si>
  <si>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</si>
  <si>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</si>
  <si>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</si>
  <si>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</si>
  <si>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</si>
  <si>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</si>
  <si>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</si>
  <si>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</si>
  <si>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</si>
  <si>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</si>
  <si>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</si>
  <si>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</si>
  <si>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</si>
  <si>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</si>
  <si>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</si>
  <si>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</si>
  <si>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</si>
  <si>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</si>
  <si>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</si>
  <si>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</si>
  <si>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</si>
  <si>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</si>
  <si>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</si>
  <si>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</si>
  <si>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</si>
  <si>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</si>
  <si>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</si>
  <si>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</si>
  <si>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</si>
  <si>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</si>
  <si>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</si>
  <si>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</si>
  <si>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</si>
  <si>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</si>
  <si>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</si>
  <si>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</si>
  <si>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</si>
  <si>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</si>
  <si>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</si>
  <si>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</si>
  <si>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</si>
  <si>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</si>
  <si>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</si>
  <si>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</si>
  <si>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</si>
  <si>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</si>
  <si>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</si>
  <si>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</si>
  <si>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</si>
  <si>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</si>
  <si>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</si>
  <si>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</si>
  <si>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</si>
  <si>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</si>
  <si>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</si>
  <si>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</si>
  <si>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</si>
  <si>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</si>
  <si>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</si>
  <si>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</si>
  <si>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</si>
  <si>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</si>
  <si>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</si>
  <si>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</si>
  <si>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</si>
  <si>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</si>
  <si>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</si>
  <si>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</si>
  <si>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</si>
  <si>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</si>
  <si>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</si>
  <si>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</si>
  <si>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</si>
  <si>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</si>
  <si>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</si>
  <si>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</si>
  <si>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</si>
  <si>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</si>
  <si>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</si>
  <si>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</si>
  <si>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</si>
  <si>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</si>
  <si>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</si>
  <si>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</si>
  <si>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</si>
  <si>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</si>
  <si>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</si>
  <si>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</si>
  <si>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</si>
  <si>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</si>
  <si>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</si>
  <si>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</si>
  <si>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</si>
  <si>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</si>
  <si>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</si>
  <si>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</si>
  <si>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</si>
  <si>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</si>
  <si>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</si>
  <si>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</si>
  <si>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</si>
  <si>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</si>
  <si>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</si>
  <si>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</si>
  <si>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</si>
  <si>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</si>
  <si>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</si>
  <si>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</si>
  <si>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</si>
  <si>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</si>
  <si>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</si>
  <si>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</si>
  <si>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</si>
  <si>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</si>
  <si>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</si>
  <si>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</si>
  <si>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</si>
  <si>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</si>
  <si>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</si>
  <si>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</si>
  <si>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</si>
  <si>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</si>
  <si>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</si>
  <si>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</si>
  <si>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</si>
  <si>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</si>
  <si>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</si>
  <si>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</si>
  <si>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</si>
  <si>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</si>
  <si>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</si>
  <si>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</si>
  <si>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</si>
  <si>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</si>
  <si>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</si>
  <si>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</si>
  <si>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</si>
  <si>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</si>
  <si>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</si>
  <si>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</si>
  <si>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</si>
  <si>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</si>
  <si>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</si>
  <si>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</si>
  <si>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</si>
  <si>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</si>
  <si>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</si>
  <si>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</si>
  <si>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</si>
  <si>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</si>
  <si>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</si>
  <si>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</si>
  <si>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</si>
  <si>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</si>
  <si>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</si>
  <si>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</si>
  <si>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</si>
  <si>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</si>
  <si>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</si>
  <si>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</si>
  <si>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</si>
  <si>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</si>
  <si>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</si>
  <si>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</si>
  <si>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</si>
  <si>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</si>
  <si>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</si>
  <si>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</si>
  <si>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</si>
  <si>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</si>
  <si>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</si>
  <si>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</si>
  <si>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</si>
  <si>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</si>
  <si>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</si>
  <si>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</si>
  <si>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</si>
  <si>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</si>
  <si>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</si>
  <si>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</si>
  <si>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</si>
  <si>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</si>
  <si>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</si>
  <si>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</si>
  <si>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</si>
  <si>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</si>
  <si>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</si>
  <si>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</si>
  <si>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</si>
  <si>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</si>
  <si>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</si>
  <si>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</si>
  <si>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</si>
  <si>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</si>
  <si>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</si>
  <si>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</si>
  <si>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</si>
  <si>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</si>
  <si>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</si>
  <si>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</si>
  <si>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</si>
  <si>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</si>
  <si>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</si>
  <si>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</si>
  <si>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</si>
  <si>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</si>
  <si>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</si>
  <si>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</si>
  <si>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</si>
  <si>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</si>
  <si>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</si>
  <si>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</si>
  <si>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</si>
  <si>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</si>
  <si>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</si>
  <si>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</si>
  <si>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</si>
  <si>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</si>
  <si>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</si>
  <si>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</si>
  <si>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</si>
  <si>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</si>
  <si>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</si>
  <si>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</si>
  <si>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</si>
  <si>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</si>
  <si>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</si>
  <si>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</si>
  <si>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</si>
  <si>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</si>
  <si>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</si>
  <si>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</si>
  <si>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</si>
  <si>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</si>
  <si>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</si>
  <si>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</si>
  <si>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</si>
  <si>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</si>
  <si>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</si>
  <si>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</si>
  <si>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</si>
  <si>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</si>
  <si>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</si>
  <si>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</si>
  <si>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</si>
  <si>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</si>
  <si>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</si>
  <si>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</si>
  <si>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</si>
  <si>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</si>
  <si>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</si>
  <si>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</si>
  <si>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</si>
  <si>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</si>
  <si>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</si>
  <si>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</si>
  <si>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</si>
  <si>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</si>
  <si>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</si>
  <si>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</si>
  <si>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</si>
  <si>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</si>
  <si>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</si>
  <si>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</si>
  <si>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</si>
  <si>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</si>
  <si>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</si>
  <si>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</si>
  <si>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</si>
  <si>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</si>
  <si>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</si>
  <si>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</si>
  <si>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</si>
  <si>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</si>
  <si>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</si>
  <si>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</si>
  <si>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</si>
  <si>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</si>
  <si>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</si>
  <si>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</si>
  <si>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</si>
  <si>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</si>
  <si>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</si>
  <si>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</si>
  <si>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</si>
  <si>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</si>
  <si>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</si>
  <si>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</si>
  <si>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</si>
  <si>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</si>
  <si>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</si>
  <si>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</si>
  <si>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</si>
  <si>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</si>
  <si>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</si>
  <si>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</si>
  <si>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</si>
  <si>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</si>
  <si>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</si>
  <si>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</si>
  <si>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</si>
  <si>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</si>
  <si>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</si>
  <si>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</si>
  <si>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</si>
  <si>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</si>
  <si>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</si>
  <si>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</si>
  <si>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</si>
  <si>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</si>
  <si>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</si>
  <si>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</si>
  <si>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</si>
  <si>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</si>
  <si>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</si>
  <si>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</si>
  <si>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</si>
  <si>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</si>
  <si>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</si>
  <si>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</si>
  <si>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</si>
  <si>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</si>
  <si>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</si>
  <si>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</si>
  <si>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</si>
  <si>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</si>
  <si>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</si>
  <si>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</si>
  <si>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</si>
  <si>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</si>
  <si>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</si>
  <si>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</si>
  <si>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</si>
  <si>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</si>
  <si>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</si>
  <si>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</si>
  <si>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</si>
  <si>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</si>
  <si>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</si>
  <si>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</si>
  <si>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</si>
  <si>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</si>
  <si>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</si>
  <si>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</si>
  <si>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</si>
  <si>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</si>
  <si>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</si>
  <si>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</si>
  <si>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</si>
  <si>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</si>
  <si>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</si>
  <si>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</si>
  <si>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</si>
  <si>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</si>
  <si>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</si>
  <si>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</si>
  <si>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</si>
  <si>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</si>
  <si>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</si>
  <si>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</si>
  <si>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</si>
  <si>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</si>
  <si>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</si>
  <si>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</si>
  <si>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</si>
  <si>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</si>
  <si>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</si>
  <si>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</si>
  <si>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</si>
  <si>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</si>
  <si>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</si>
  <si>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</si>
  <si>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</si>
  <si>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</si>
  <si>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</si>
  <si>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</si>
  <si>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</si>
  <si>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</si>
  <si>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</si>
  <si>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</si>
  <si>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</si>
  <si>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</si>
  <si>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</si>
  <si>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</si>
  <si>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</si>
  <si>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</si>
  <si>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</si>
  <si>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</si>
  <si>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</si>
  <si>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</si>
  <si>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</si>
  <si>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</si>
  <si>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</si>
  <si>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</si>
  <si>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</si>
  <si>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</si>
  <si>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</si>
  <si>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</si>
  <si>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</si>
  <si>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</si>
  <si>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</si>
  <si>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</si>
  <si>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</si>
  <si>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</si>
  <si>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</si>
  <si>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</si>
  <si>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</si>
  <si>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</si>
  <si>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</si>
  <si>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</si>
  <si>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</si>
  <si>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</si>
  <si>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</si>
  <si>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</si>
  <si>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</si>
  <si>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</si>
  <si>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</si>
  <si>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</si>
  <si>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</si>
  <si>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</si>
  <si>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</si>
  <si>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</si>
  <si>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</si>
  <si>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</si>
  <si>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</si>
  <si>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</si>
  <si>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</si>
  <si>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</si>
  <si>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</si>
  <si>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</si>
  <si>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</si>
  <si>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</si>
  <si>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</si>
  <si>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</si>
  <si>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</si>
  <si>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</si>
  <si>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</si>
  <si>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</si>
  <si>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</si>
  <si>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</si>
  <si>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</si>
  <si>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</si>
  <si>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</si>
  <si>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</si>
  <si>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</si>
  <si>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</si>
  <si>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</si>
  <si>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</si>
  <si>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</si>
  <si>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</si>
  <si>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</si>
  <si>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</si>
  <si>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</si>
  <si>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</si>
  <si>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</si>
  <si>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</si>
  <si>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</si>
  <si>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</si>
  <si>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</si>
  <si>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</si>
  <si>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</si>
  <si>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</si>
  <si>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</si>
  <si>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</si>
  <si>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</si>
  <si>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</si>
  <si>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</si>
  <si>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</si>
  <si>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</si>
  <si>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</si>
  <si>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</si>
  <si>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</si>
  <si>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</si>
  <si>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</si>
  <si>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</si>
  <si>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</si>
  <si>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</si>
  <si>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</si>
  <si>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</si>
  <si>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</si>
  <si>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</si>
  <si>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</si>
  <si>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</si>
  <si>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</si>
  <si>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</si>
  <si>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</si>
  <si>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</si>
  <si>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</si>
  <si>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</si>
  <si>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</si>
  <si>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</si>
  <si>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</si>
  <si>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</si>
  <si>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</si>
  <si>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</si>
  <si>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</si>
  <si>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</si>
  <si>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</si>
  <si>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</si>
  <si>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</si>
  <si>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</si>
  <si>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</si>
  <si>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</si>
  <si>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</si>
  <si>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</si>
  <si>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</si>
  <si>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</si>
  <si>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</si>
  <si>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</si>
  <si>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</si>
  <si>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</si>
  <si>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</si>
  <si>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</si>
  <si>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</si>
  <si>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</si>
  <si>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</si>
  <si>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</si>
  <si>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</si>
  <si>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</si>
  <si>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</si>
  <si>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</si>
  <si>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</si>
  <si>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</si>
  <si>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</si>
  <si>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</si>
  <si>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</si>
  <si>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</si>
  <si>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</si>
  <si>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</si>
  <si>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</si>
  <si>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</si>
  <si>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</si>
  <si>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</si>
  <si>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</si>
  <si>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</si>
  <si>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</si>
  <si>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</si>
  <si>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</si>
  <si>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</si>
  <si>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</si>
  <si>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</si>
  <si>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</si>
  <si>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</si>
  <si>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</si>
  <si>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</si>
  <si>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</si>
  <si>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</si>
  <si>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</si>
  <si>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</si>
  <si>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</si>
  <si>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</si>
  <si>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</si>
  <si>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</si>
  <si>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</si>
  <si>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</si>
  <si>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</si>
  <si>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</si>
  <si>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</si>
  <si>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</si>
  <si>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</si>
  <si>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</si>
  <si>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</si>
  <si>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</si>
  <si>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</si>
  <si>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</si>
  <si>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</si>
  <si>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</si>
  <si>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</si>
  <si>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</si>
  <si>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</si>
  <si>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</si>
  <si>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</si>
  <si>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</si>
  <si>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</si>
  <si>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</si>
  <si>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</si>
  <si>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</si>
  <si>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</si>
  <si>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</si>
  <si>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</si>
  <si>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</si>
  <si>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</si>
  <si>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</si>
  <si>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</si>
  <si>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</si>
  <si>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</si>
  <si>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</si>
  <si>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</si>
  <si>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</si>
  <si>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</si>
  <si>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</si>
  <si>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</si>
  <si>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</si>
  <si>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</si>
  <si>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</si>
  <si>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</si>
  <si>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</si>
  <si>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</si>
  <si>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</si>
  <si>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</si>
  <si>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</si>
  <si>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</si>
  <si>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</si>
  <si>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</si>
  <si>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</si>
  <si>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</si>
  <si>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</si>
  <si>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</si>
  <si>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</si>
  <si>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</si>
  <si>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</si>
  <si>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</si>
  <si>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</si>
  <si>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</si>
  <si>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</si>
  <si>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</si>
  <si>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</si>
  <si>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</si>
  <si>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</si>
  <si>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</si>
  <si>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</si>
  <si>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</si>
  <si>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</si>
  <si>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</si>
  <si>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</si>
  <si>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</si>
  <si>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</si>
  <si>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</si>
  <si>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</si>
  <si>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</si>
  <si>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</si>
  <si>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</si>
  <si>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</si>
  <si>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</si>
  <si>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</si>
  <si>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</si>
  <si>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</si>
  <si>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</si>
  <si>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</si>
  <si>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</si>
  <si>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</si>
  <si>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</si>
  <si>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</si>
  <si>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</si>
  <si>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</si>
  <si>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</si>
  <si>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</si>
  <si>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</si>
  <si>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</si>
  <si>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</si>
  <si>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</si>
  <si>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</si>
  <si>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</si>
  <si>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</si>
  <si>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</si>
  <si>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</si>
  <si>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</si>
  <si>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</si>
  <si>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</si>
  <si>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</si>
  <si>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</si>
  <si>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</si>
  <si>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</si>
  <si>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</si>
  <si>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</si>
  <si>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</si>
  <si>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</si>
  <si>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</si>
  <si>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</si>
  <si>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</si>
  <si>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</si>
  <si>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</si>
  <si>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</si>
  <si>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</si>
  <si>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</si>
  <si>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</si>
  <si>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</si>
  <si>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</si>
  <si>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</si>
  <si>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</si>
  <si>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</si>
  <si>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</si>
  <si>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</si>
  <si>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</si>
  <si>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</si>
  <si>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</si>
  <si>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</si>
  <si>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</si>
  <si>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</si>
  <si>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</si>
  <si>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</si>
  <si>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</si>
  <si>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</si>
  <si>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</si>
  <si>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</si>
  <si>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</si>
  <si>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</si>
  <si>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</si>
  <si>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</si>
  <si>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</si>
  <si>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</si>
  <si>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</si>
  <si>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</si>
  <si>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</si>
  <si>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</si>
  <si>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</si>
  <si>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</si>
  <si>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</si>
  <si>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</si>
  <si>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</si>
  <si>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</si>
  <si>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</si>
  <si>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</si>
  <si>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</si>
  <si>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</si>
  <si>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</si>
  <si>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</si>
  <si>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</si>
  <si>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</si>
  <si>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</si>
  <si>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</si>
  <si>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</si>
  <si>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</si>
  <si>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</si>
  <si>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</si>
  <si>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</si>
  <si>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</si>
  <si>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</si>
  <si>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</si>
  <si>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</si>
  <si>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</si>
  <si>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</si>
  <si>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</si>
  <si>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</si>
  <si>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</si>
  <si>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</si>
  <si>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</si>
  <si>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</si>
  <si>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</si>
  <si>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</si>
  <si>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</si>
  <si>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</si>
  <si>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</si>
  <si>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</si>
  <si>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</si>
  <si>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</si>
  <si>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</si>
  <si>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</si>
  <si>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</si>
  <si>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</si>
  <si>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</si>
  <si>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</si>
  <si>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</si>
  <si>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</si>
  <si>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</si>
  <si>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</si>
  <si>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</si>
  <si>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</si>
  <si>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</si>
  <si>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</si>
  <si>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</si>
  <si>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</si>
  <si>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</si>
  <si>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</si>
  <si>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</si>
  <si>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</si>
  <si>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</si>
  <si>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</si>
  <si>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</si>
  <si>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</si>
  <si>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</si>
  <si>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</si>
  <si>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</si>
  <si>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</si>
  <si>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</si>
  <si>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</si>
  <si>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</si>
  <si>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</si>
  <si>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</si>
  <si>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</si>
  <si>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</si>
  <si>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</si>
  <si>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</si>
  <si>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</si>
  <si>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</si>
  <si>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</si>
  <si>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</si>
  <si>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</si>
  <si>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</si>
  <si>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</si>
  <si>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</si>
  <si>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</si>
  <si>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</si>
  <si>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</si>
  <si>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</si>
  <si>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</si>
  <si>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</si>
  <si>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</si>
  <si>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</si>
  <si>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</si>
  <si>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</si>
  <si>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</si>
  <si>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</si>
  <si>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</si>
  <si>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</si>
  <si>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</si>
  <si>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</si>
  <si>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</si>
  <si>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</si>
  <si>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</si>
  <si>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</si>
  <si>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</si>
  <si>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</si>
  <si>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</si>
  <si>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</si>
  <si>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</si>
  <si>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</si>
  <si>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</si>
  <si>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</si>
  <si>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</si>
  <si>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</si>
  <si>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</si>
  <si>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</si>
  <si>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</si>
  <si>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</si>
  <si>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</si>
  <si>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</si>
  <si>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</si>
  <si>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</si>
  <si>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</si>
  <si>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</si>
  <si>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</si>
  <si>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</si>
  <si>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</si>
  <si>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</si>
  <si>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</si>
  <si>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</si>
  <si>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</si>
  <si>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</si>
  <si>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</si>
  <si>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</si>
  <si>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</si>
  <si>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</si>
  <si>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</si>
  <si>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</si>
  <si>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</si>
  <si>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</si>
  <si>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</si>
  <si>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</si>
  <si>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</si>
  <si>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</si>
  <si>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</si>
  <si>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</si>
  <si>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</si>
  <si>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</si>
  <si>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</si>
  <si>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</si>
  <si>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</si>
  <si>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</si>
  <si>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</si>
  <si>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</si>
  <si>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</si>
  <si>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</si>
  <si>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</si>
  <si>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</si>
  <si>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</si>
  <si>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</si>
  <si>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</si>
  <si>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</si>
  <si>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</si>
  <si>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</si>
  <si>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</si>
  <si>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</si>
  <si>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</si>
  <si>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</si>
  <si>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</si>
  <si>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</si>
  <si>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</si>
  <si>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</si>
  <si>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</si>
  <si>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</si>
  <si>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</si>
  <si>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</si>
  <si>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</si>
  <si>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</si>
  <si>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</si>
  <si>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</si>
  <si>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</si>
  <si>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</si>
  <si>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</si>
  <si>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</si>
  <si>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</si>
  <si>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</si>
  <si>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</si>
  <si>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</si>
  <si>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</si>
  <si>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</si>
  <si>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</si>
  <si>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</si>
  <si>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</si>
  <si>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</si>
  <si>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</si>
  <si>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</si>
  <si>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</si>
  <si>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</si>
  <si>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</si>
  <si>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</si>
  <si>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</si>
  <si>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</si>
  <si>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</si>
  <si>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</si>
  <si>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</si>
  <si>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</si>
  <si>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</si>
  <si>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</si>
  <si>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</si>
  <si>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</si>
  <si>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</si>
  <si>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</si>
  <si>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</si>
  <si>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</si>
  <si>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</si>
  <si>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</si>
  <si>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</si>
  <si>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</si>
  <si>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</si>
  <si>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</si>
  <si>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</si>
  <si>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</si>
  <si>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</si>
  <si>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</si>
  <si>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</si>
  <si>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</si>
  <si>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</si>
  <si>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</si>
  <si>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</si>
  <si>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</si>
  <si>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</si>
  <si>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</si>
  <si>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</si>
  <si>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</si>
  <si>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</si>
  <si>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</si>
  <si>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</si>
  <si>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</si>
  <si>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</si>
  <si>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</si>
  <si>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</si>
  <si>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</si>
  <si>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</si>
  <si>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</si>
  <si>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</si>
  <si>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</si>
  <si>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</si>
  <si>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</si>
  <si>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</si>
  <si>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</si>
  <si>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</si>
  <si>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</si>
  <si>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</si>
  <si>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</si>
  <si>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</si>
  <si>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</si>
  <si>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</si>
  <si>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</si>
  <si>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</si>
  <si>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</si>
  <si>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</si>
  <si>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</si>
  <si>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</si>
  <si>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</si>
  <si>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</si>
  <si>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</si>
  <si>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</si>
  <si>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</si>
  <si>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</si>
  <si>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</si>
  <si>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</si>
  <si>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</si>
  <si>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</si>
  <si>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</si>
  <si>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</si>
  <si>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</si>
  <si>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</si>
  <si>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</si>
  <si>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</si>
  <si>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</si>
  <si>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</si>
  <si>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</si>
  <si>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</si>
  <si>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</si>
  <si>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</si>
  <si>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</si>
  <si>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</si>
  <si>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</si>
  <si>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</si>
  <si>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</si>
  <si>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</si>
  <si>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</si>
  <si>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</si>
  <si>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</si>
  <si>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</si>
  <si>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</si>
  <si>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</si>
  <si>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</si>
  <si>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</si>
  <si>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</si>
  <si>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</si>
  <si>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</si>
  <si>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</si>
  <si>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</si>
  <si>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</si>
  <si>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</si>
  <si>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</si>
  <si>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športy s lietajúcim diskom - bežné transfery</t>
  </si>
  <si>
    <t>975251107</t>
  </si>
  <si>
    <t>European ultimate federation</t>
  </si>
  <si>
    <t>44525371</t>
  </si>
  <si>
    <t>Prenájom športovej haly</t>
  </si>
  <si>
    <t>Účastnícke poplatky - EUIC 2026 Slovakia Guestfees</t>
  </si>
  <si>
    <t>19.1.2026</t>
  </si>
  <si>
    <t>22.1.2026</t>
  </si>
  <si>
    <t>11.2.2026</t>
  </si>
  <si>
    <t>Rekreačné služby mesta Senica, spol. s r.o.</t>
  </si>
  <si>
    <t>Cestovné - kontrolórka SAF</t>
  </si>
  <si>
    <t>Katarína Vilhanová</t>
  </si>
  <si>
    <t>2.2.2026</t>
  </si>
  <si>
    <t>23.2.2026</t>
  </si>
  <si>
    <t>27.2.2026</t>
  </si>
  <si>
    <t>Materiál medaile nálepky stuhy</t>
  </si>
  <si>
    <t>36747599</t>
  </si>
  <si>
    <t>LB Design, s.r.o.</t>
  </si>
  <si>
    <t>European Disc Golf Federation</t>
  </si>
  <si>
    <t>Členský poplatok EDGF 2026</t>
  </si>
  <si>
    <t>World Flying Disc Federation</t>
  </si>
  <si>
    <t>Účastnícke poplatky WFDF 2025</t>
  </si>
  <si>
    <t>Materiál úložný kontajner</t>
  </si>
  <si>
    <t>Titan containers A/S</t>
  </si>
  <si>
    <t>54559472</t>
  </si>
  <si>
    <t>DOM ŠPORTU, s.r.o.</t>
  </si>
  <si>
    <t>35862289</t>
  </si>
  <si>
    <t>Prenájom - športové zariadenia v Dome športu 2/2026</t>
  </si>
  <si>
    <t>26DF00002</t>
  </si>
  <si>
    <t>26DF00004</t>
  </si>
  <si>
    <t>26DF00010</t>
  </si>
  <si>
    <t>26DF00007</t>
  </si>
  <si>
    <t>26DF00001</t>
  </si>
  <si>
    <t>26DF00005</t>
  </si>
  <si>
    <t>CPK26001</t>
  </si>
  <si>
    <t>26DF00006</t>
  </si>
  <si>
    <t>202600007</t>
  </si>
  <si>
    <t>126008</t>
  </si>
  <si>
    <t>2026</t>
  </si>
  <si>
    <t>3404</t>
  </si>
  <si>
    <t>4212312</t>
  </si>
  <si>
    <t>102600055</t>
  </si>
  <si>
    <t>2026065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</si>
</sst>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8"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xr:uid="{9071B3F3-28FC-4CD1-B549-875C62B14CA2}"/>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6" val="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8" t="s">
        <v>0</v>
      </c>
      <c r="C1" s="323"/>
      <c r="D1" s="323"/>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5"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399999999999999" customHeight="1" x14ac:dyDescent="0.25">
      <c r="A12" s="304" t="s">
        <v>1379</v>
      </c>
      <c r="C12" s="205"/>
      <c r="D12" s="205"/>
    </row>
    <row r="13" spans="1:4" s="18" customFormat="1" ht="23.4" customHeight="1" x14ac:dyDescent="0.25">
      <c r="A13" s="309"/>
      <c r="C13" s="205"/>
      <c r="D13" s="205"/>
    </row>
    <row r="14" spans="1:4" s="18" customFormat="1" ht="17.5" x14ac:dyDescent="0.25">
      <c r="A14" s="310" t="s">
        <v>5</v>
      </c>
      <c r="C14" s="205"/>
      <c r="D14" s="205"/>
    </row>
    <row r="15" spans="1:4" ht="16.25" customHeight="1" x14ac:dyDescent="0.25">
      <c r="A15" s="127"/>
      <c r="C15" s="21"/>
    </row>
    <row r="16" spans="1:4" ht="303" x14ac:dyDescent="0.25">
      <c r="A16" s="298" t="s">
        <v>6</v>
      </c>
      <c r="C16" s="21"/>
    </row>
    <row r="17" spans="1:4" ht="17.399999999999999" customHeight="1" x14ac:dyDescent="0.25">
      <c r="A17" s="21"/>
      <c r="C17" s="21"/>
    </row>
    <row r="18" spans="1:4" ht="226.4" customHeight="1" x14ac:dyDescent="0.25">
      <c r="A18" s="298" t="s">
        <v>7</v>
      </c>
      <c r="B18" s="257"/>
      <c r="C18" s="21"/>
    </row>
    <row r="19" spans="1:4" ht="30.65" customHeight="1" x14ac:dyDescent="0.25">
      <c r="A19" s="21"/>
      <c r="B19" s="257"/>
      <c r="C19" s="21"/>
    </row>
    <row r="20" spans="1:4" ht="26.25" customHeight="1" x14ac:dyDescent="0.25">
      <c r="A20" s="299" t="s">
        <v>8</v>
      </c>
      <c r="C20" s="21"/>
    </row>
    <row r="21" spans="1:4" ht="38" x14ac:dyDescent="0.25">
      <c r="A21" s="19" t="s">
        <v>9</v>
      </c>
      <c r="C21" s="324"/>
      <c r="D21" s="324"/>
    </row>
    <row r="22" spans="1:4" x14ac:dyDescent="0.25">
      <c r="C22" s="325"/>
      <c r="D22" s="324"/>
    </row>
    <row r="23" spans="1:4" ht="64" x14ac:dyDescent="0.25">
      <c r="A23" s="23" t="s">
        <v>1380</v>
      </c>
      <c r="C23" s="255"/>
      <c r="D23" s="256"/>
    </row>
    <row r="24" spans="1:4" ht="12.75" customHeight="1" x14ac:dyDescent="0.25">
      <c r="C24" s="321"/>
      <c r="D24" s="322"/>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1361</v>
      </c>
    </row>
    <row r="32" spans="1:4" ht="12.65" customHeight="1" x14ac:dyDescent="0.25"/>
    <row r="33" spans="1:3" ht="15.75" customHeight="1" x14ac:dyDescent="0.25">
      <c r="A33" s="19" t="s">
        <v>1362</v>
      </c>
    </row>
    <row r="34" spans="1:3" ht="12.65" customHeight="1" x14ac:dyDescent="0.25"/>
    <row r="35" spans="1:3" ht="52" x14ac:dyDescent="0.25">
      <c r="A35" s="19" t="s">
        <v>1364</v>
      </c>
    </row>
    <row r="36" spans="1:3" ht="12" customHeight="1" x14ac:dyDescent="0.25"/>
    <row r="37" spans="1:3" ht="25.5" x14ac:dyDescent="0.25">
      <c r="A37" s="271" t="s">
        <v>1363</v>
      </c>
    </row>
    <row r="39" spans="1:3" ht="77" x14ac:dyDescent="0.25">
      <c r="A39" s="23" t="s">
        <v>1365</v>
      </c>
    </row>
    <row r="40" spans="1:3" ht="12.75" customHeight="1" x14ac:dyDescent="0.25"/>
    <row r="41" spans="1:3" ht="26"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4" customHeight="1" x14ac:dyDescent="0.25">
      <c r="A46" s="301" t="s">
        <v>15</v>
      </c>
      <c r="C46" s="22"/>
    </row>
    <row r="47" spans="1:3" ht="11.4" customHeight="1" x14ac:dyDescent="0.25"/>
    <row r="48" spans="1:3" ht="13" x14ac:dyDescent="0.25">
      <c r="A48" s="302" t="s">
        <v>1367</v>
      </c>
    </row>
    <row r="49" spans="1:1" ht="12" customHeight="1" x14ac:dyDescent="0.25"/>
    <row r="50" spans="1:1" ht="39" x14ac:dyDescent="0.25">
      <c r="A50" s="19" t="s">
        <v>1368</v>
      </c>
    </row>
    <row r="51" spans="1:1" ht="12.75" customHeight="1" x14ac:dyDescent="0.25"/>
    <row r="52" spans="1:1" ht="75.5" x14ac:dyDescent="0.25">
      <c r="A52" s="19" t="s">
        <v>1369</v>
      </c>
    </row>
    <row r="53" spans="1:1" ht="12.75" customHeight="1" x14ac:dyDescent="0.25"/>
    <row r="54" spans="1:1" ht="38.5" x14ac:dyDescent="0.25">
      <c r="A54" s="19" t="s">
        <v>1370</v>
      </c>
    </row>
    <row r="56" spans="1:1" ht="13" x14ac:dyDescent="0.25">
      <c r="A56" s="19" t="s">
        <v>16</v>
      </c>
    </row>
    <row r="58" spans="1:1" ht="13" x14ac:dyDescent="0.25">
      <c r="A58" s="19" t="s">
        <v>17</v>
      </c>
    </row>
    <row r="60" spans="1:1" ht="121.75" customHeight="1" x14ac:dyDescent="0.25">
      <c r="A60" s="23" t="s">
        <v>1371</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1372</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11" t="s">
        <v>1390</v>
      </c>
    </row>
    <row r="73" spans="1:1" ht="37.5" x14ac:dyDescent="0.25">
      <c r="A73" s="23" t="s">
        <v>1391</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5"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1381</v>
      </c>
    </row>
    <row r="96" spans="1:2" x14ac:dyDescent="0.25">
      <c r="A96" s="23"/>
    </row>
    <row r="97" spans="1:4" ht="13" x14ac:dyDescent="0.25">
      <c r="A97" s="260" t="s">
        <v>40</v>
      </c>
    </row>
    <row r="98" spans="1:4" ht="68.400000000000006" customHeight="1" x14ac:dyDescent="0.25">
      <c r="A98" s="23" t="s">
        <v>1382</v>
      </c>
    </row>
    <row r="99" spans="1:4" x14ac:dyDescent="0.25">
      <c r="A99" s="23"/>
    </row>
    <row r="100" spans="1:4" ht="13" x14ac:dyDescent="0.25">
      <c r="A100" s="260" t="s">
        <v>41</v>
      </c>
    </row>
    <row r="101" spans="1:4" ht="75.5" x14ac:dyDescent="0.25">
      <c r="A101" s="23" t="s">
        <v>1383</v>
      </c>
    </row>
    <row r="102" spans="1:4" x14ac:dyDescent="0.25">
      <c r="A102" s="23"/>
    </row>
    <row r="103" spans="1:4" ht="13" x14ac:dyDescent="0.25">
      <c r="A103" s="297" t="s">
        <v>42</v>
      </c>
    </row>
    <row r="104" spans="1:4" ht="50.5" x14ac:dyDescent="0.25">
      <c r="A104" s="23" t="s">
        <v>1384</v>
      </c>
    </row>
    <row r="105" spans="1:4" x14ac:dyDescent="0.25">
      <c r="A105" s="23"/>
      <c r="B105" s="20" t="s">
        <v>43</v>
      </c>
    </row>
    <row r="106" spans="1:4" ht="13" x14ac:dyDescent="0.25">
      <c r="A106" s="260" t="s">
        <v>44</v>
      </c>
    </row>
    <row r="107" spans="1:4" ht="71.25" customHeight="1" x14ac:dyDescent="0.25">
      <c r="A107" s="19" t="s">
        <v>1385</v>
      </c>
    </row>
    <row r="108" spans="1:4" ht="37.5" x14ac:dyDescent="0.25">
      <c r="A108" s="19" t="s">
        <v>1375</v>
      </c>
    </row>
    <row r="109" spans="1:4" ht="25" x14ac:dyDescent="0.25">
      <c r="A109" s="19" t="s">
        <v>45</v>
      </c>
    </row>
    <row r="110" spans="1:4" ht="10.5" customHeight="1" x14ac:dyDescent="0.25">
      <c r="D110" s="20" t="s">
        <v>43</v>
      </c>
    </row>
    <row r="111" spans="1:4" ht="99.75" customHeight="1" x14ac:dyDescent="0.25">
      <c r="A111" s="23" t="s">
        <v>1374</v>
      </c>
    </row>
    <row r="112" spans="1:4" ht="26" x14ac:dyDescent="0.25">
      <c r="A112" s="19" t="s">
        <v>1373</v>
      </c>
    </row>
    <row r="114" spans="1:2" ht="175" x14ac:dyDescent="0.25">
      <c r="A114" s="23" t="s">
        <v>1386</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ht="13" x14ac:dyDescent="0.25">
      <c r="A131" s="297" t="s">
        <v>56</v>
      </c>
    </row>
    <row r="132" spans="1:1" ht="40.75" customHeight="1" x14ac:dyDescent="0.25">
      <c r="A132" s="23" t="s">
        <v>1376</v>
      </c>
    </row>
    <row r="133" spans="1:1" ht="61.5" customHeight="1" x14ac:dyDescent="0.25">
      <c r="A133" s="303" t="s">
        <v>1388</v>
      </c>
    </row>
    <row r="134" spans="1:1" ht="13" x14ac:dyDescent="0.25">
      <c r="A134" s="260" t="s">
        <v>1389</v>
      </c>
    </row>
    <row r="135" spans="1:1" ht="101" x14ac:dyDescent="0.25">
      <c r="A135" s="303" t="s">
        <v>1377</v>
      </c>
    </row>
    <row r="136" spans="1:1" x14ac:dyDescent="0.25">
      <c r="A136"/>
    </row>
    <row r="137" spans="1:1" ht="71.5" customHeight="1" x14ac:dyDescent="0.25">
      <c r="A137" s="302" t="s">
        <v>1378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69" t="str">
        <f>Spolu!C3&amp;", "&amp;Spolu!C6</f>
        <v>Slovenská asociácia Frisbee, Malženice 511, Malženice, 919 29</v>
      </c>
      <c r="B1" s="369"/>
      <c r="C1" s="36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0" t="s">
        <v>1276</v>
      </c>
      <c r="F3" s="371"/>
      <c r="N3" s="137" t="str">
        <f t="shared" si="0"/>
        <v>c - príspevok Slovenskému paralympijskému výboru</v>
      </c>
      <c r="O3" s="137" t="s">
        <v>342</v>
      </c>
      <c r="P3" s="137" t="str">
        <f>Spolu!B19</f>
        <v>príspevok Slovenskému paralympijskému výboru</v>
      </c>
    </row>
    <row r="4" spans="1:16" ht="45.75" customHeight="1" x14ac:dyDescent="0.25">
      <c r="E4" s="371"/>
      <c r="F4" s="371"/>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1"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4"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4" customHeight="1" x14ac:dyDescent="0.25">
      <c r="A14" s="139" t="s">
        <v>1292</v>
      </c>
      <c r="B14" s="374" t="s">
        <v>1310</v>
      </c>
      <c r="C14" s="375"/>
      <c r="F14" s="313"/>
      <c r="N14" s="137" t="str">
        <f t="shared" si="0"/>
        <v xml:space="preserve">n - </v>
      </c>
      <c r="O14" s="137" t="s">
        <v>364</v>
      </c>
    </row>
    <row r="15" spans="1:16" ht="34.4" customHeight="1" x14ac:dyDescent="0.25">
      <c r="A15" s="139" t="s">
        <v>1311</v>
      </c>
      <c r="B15" s="374"/>
      <c r="C15" s="375"/>
      <c r="F15" s="377"/>
      <c r="N15" s="137" t="str">
        <f t="shared" si="0"/>
        <v xml:space="preserve">o - </v>
      </c>
      <c r="O15" s="137" t="s">
        <v>365</v>
      </c>
    </row>
    <row r="16" spans="1:16" x14ac:dyDescent="0.25">
      <c r="A16" s="139" t="s">
        <v>1295</v>
      </c>
      <c r="B16" s="142">
        <f>F8</f>
        <v>0</v>
      </c>
      <c r="C16" s="137"/>
      <c r="F16" s="377"/>
      <c r="N16" s="137" t="str">
        <f t="shared" si="0"/>
        <v xml:space="preserve">p - </v>
      </c>
      <c r="O16" s="137" t="s">
        <v>366</v>
      </c>
    </row>
    <row r="17" spans="1:16" ht="32.15" customHeight="1" x14ac:dyDescent="0.25">
      <c r="A17" s="139" t="s">
        <v>1298</v>
      </c>
      <c r="B17" s="142">
        <f>F9</f>
        <v>0</v>
      </c>
      <c r="C17" s="137"/>
      <c r="F17" s="377"/>
      <c r="N17" s="137" t="str">
        <f t="shared" si="0"/>
        <v xml:space="preserve">q - </v>
      </c>
      <c r="O17" s="137" t="s">
        <v>367</v>
      </c>
    </row>
    <row r="18" spans="1:16" ht="16" thickBot="1" x14ac:dyDescent="0.3">
      <c r="B18" s="193" t="s">
        <v>1312</v>
      </c>
      <c r="C18" s="194">
        <v>31</v>
      </c>
      <c r="N18" s="137" t="str">
        <f t="shared" si="0"/>
        <v xml:space="preserve">r - </v>
      </c>
      <c r="O18" s="137" t="s">
        <v>368</v>
      </c>
    </row>
    <row r="19" spans="1:16" x14ac:dyDescent="0.25">
      <c r="B19" s="193" t="s">
        <v>1300</v>
      </c>
      <c r="C19" s="142" t="str">
        <f>Spolu!C4</f>
        <v>31749852</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6" t="s">
        <v>1303</v>
      </c>
      <c r="C24" s="37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1316</v>
      </c>
    </row>
    <row r="2" spans="1:2" ht="30" customHeight="1" x14ac:dyDescent="0.25">
      <c r="A2" s="378" t="s">
        <v>1317</v>
      </c>
      <c r="B2" s="378"/>
    </row>
    <row r="3" spans="1:2" ht="13"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26" t="s">
        <v>57</v>
      </c>
      <c r="B1" s="326"/>
      <c r="C1" s="326"/>
      <c r="D1" s="326"/>
      <c r="E1" s="326"/>
      <c r="F1" s="326"/>
      <c r="G1" s="326"/>
      <c r="H1" s="326"/>
      <c r="I1" s="52"/>
      <c r="J1" s="37"/>
    </row>
    <row r="2" spans="1:11" ht="15.5" x14ac:dyDescent="0.35">
      <c r="A2" s="332" t="s">
        <v>58</v>
      </c>
      <c r="B2" s="332"/>
      <c r="C2" s="332"/>
      <c r="D2" s="332"/>
      <c r="E2" s="332"/>
      <c r="F2" s="332"/>
      <c r="G2" s="332"/>
      <c r="H2" s="330" t="str">
        <f>+Doklady!I100</f>
        <v>V2</v>
      </c>
      <c r="I2" s="330"/>
    </row>
    <row r="3" spans="1:11" ht="14" x14ac:dyDescent="0.3">
      <c r="A3" s="40"/>
      <c r="B3" s="40"/>
      <c r="C3" s="40"/>
      <c r="D3" s="40"/>
      <c r="E3" s="40"/>
      <c r="F3" s="40"/>
      <c r="G3" s="40"/>
      <c r="H3" s="331">
        <f>+Doklady!I101</f>
        <v>45887</v>
      </c>
      <c r="I3" s="331"/>
    </row>
    <row r="4" spans="1:11" ht="15.75" customHeight="1" x14ac:dyDescent="0.3">
      <c r="A4" s="41" t="s">
        <v>59</v>
      </c>
      <c r="B4" s="327" t="s">
        <v>60</v>
      </c>
      <c r="C4" s="328"/>
      <c r="D4" s="328"/>
      <c r="E4" s="329"/>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2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35" t="s">
        <v>311</v>
      </c>
      <c r="B1" s="336"/>
      <c r="C1" s="174">
        <v>45688</v>
      </c>
      <c r="D1" s="26"/>
      <c r="G1" s="252">
        <v>45688</v>
      </c>
    </row>
    <row r="2" spans="1:7" ht="14" x14ac:dyDescent="0.3">
      <c r="A2" s="28"/>
      <c r="B2" s="28"/>
      <c r="G2" s="252">
        <v>45716</v>
      </c>
    </row>
    <row r="3" spans="1:7" ht="14" x14ac:dyDescent="0.3">
      <c r="A3" s="30" t="s">
        <v>312</v>
      </c>
      <c r="B3" s="333" t="str">
        <f>INDEX(Adr!B:B,Doklady!B102+1)</f>
        <v>Slovenská asociácia Frisbee</v>
      </c>
      <c r="C3" s="333"/>
      <c r="D3" s="333"/>
      <c r="G3" s="252">
        <v>45747</v>
      </c>
    </row>
    <row r="4" spans="1:7" ht="14" x14ac:dyDescent="0.3">
      <c r="A4" s="30" t="s">
        <v>313</v>
      </c>
      <c r="B4" s="29" t="str">
        <f>RIGHT("0000"&amp;INDEX(Adr!A:A,Doklady!B102+1),8)</f>
        <v>31749852</v>
      </c>
      <c r="G4" s="252">
        <v>45777</v>
      </c>
    </row>
    <row r="5" spans="1:7" ht="14" x14ac:dyDescent="0.3">
      <c r="A5" s="30" t="s">
        <v>314</v>
      </c>
      <c r="B5" s="29" t="str">
        <f>INDEX(Adr!D:D,Doklady!B102+1)&amp;", "&amp;INDEX(Adr!E:E,Doklady!B102+1)</f>
        <v>Malženice 511, Malženice</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56742</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56742</v>
      </c>
      <c r="G15" s="252"/>
    </row>
    <row r="16" spans="1:7" ht="14" x14ac:dyDescent="0.3">
      <c r="G16" s="252"/>
    </row>
    <row r="17" spans="1:5" ht="72" customHeight="1" x14ac:dyDescent="0.25">
      <c r="A17" s="334" t="s">
        <v>328</v>
      </c>
      <c r="B17" s="334"/>
      <c r="C17" s="334"/>
      <c r="D17" s="334"/>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9" zoomScaleNormal="100" workbookViewId="0">
      <selection activeCell="B140" sqref="B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32" customHeight="1" x14ac:dyDescent="0.35">
      <c r="A1" s="345" t="s">
        <v>1504</v>
      </c>
      <c r="B1" s="345"/>
      <c r="C1" s="345"/>
      <c r="D1" s="345"/>
      <c r="E1" s="345"/>
      <c r="F1" s="345"/>
      <c r="G1" s="345"/>
      <c r="H1" s="345"/>
      <c r="I1" s="345"/>
    </row>
    <row r="2" spans="1:26" ht="7.5" customHeight="1" x14ac:dyDescent="0.2">
      <c r="C2" s="8"/>
      <c r="D2" s="8"/>
      <c r="E2" s="8"/>
      <c r="F2" s="8"/>
      <c r="G2" s="8"/>
      <c r="H2" s="8"/>
      <c r="I2" s="8"/>
    </row>
    <row r="3" spans="1:26" s="9" customFormat="1" ht="26.15" customHeight="1" x14ac:dyDescent="0.25">
      <c r="B3" s="160" t="s">
        <v>59</v>
      </c>
      <c r="C3" s="346" t="str">
        <f>INDEX(Adr!B2:B87,Doklady!B102)</f>
        <v>Slovenská asociácia Frisbee</v>
      </c>
      <c r="D3" s="346"/>
      <c r="E3" s="346"/>
      <c r="F3" s="346"/>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INDEX(Adr!A2:A89,Doklady!B102)</f>
        <v>31749852</v>
      </c>
      <c r="I4" s="65">
        <f>Doklady!I101</f>
        <v>45887</v>
      </c>
      <c r="J4" s="85"/>
      <c r="K4" s="85"/>
      <c r="L4" s="85"/>
      <c r="M4" s="85"/>
      <c r="N4" s="85"/>
      <c r="O4" s="85"/>
      <c r="P4" s="85"/>
      <c r="Q4" s="85"/>
      <c r="R4" s="85"/>
      <c r="S4" s="85"/>
      <c r="T4" s="85"/>
      <c r="U4" s="85"/>
      <c r="V4" s="85"/>
      <c r="W4" s="85"/>
      <c r="X4" s="85"/>
      <c r="Y4" s="85"/>
      <c r="Z4" s="85"/>
    </row>
    <row r="5" spans="1:26" s="9" customFormat="1" ht="13" x14ac:dyDescent="0.3">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INDEX(Adr!D2:D89,Doklady!B102)&amp;", "&amp;INDEX(Adr!E2:E89,Doklady!B102)&amp;", "&amp;INDEX(Adr!F2:F89,Doklady!B102)</f>
        <v>Malženice 511, Malženice, 919 29</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47" t="s">
        <v>333</v>
      </c>
      <c r="F9" s="348"/>
      <c r="J9" s="8"/>
      <c r="L9" s="118"/>
      <c r="M9" s="118"/>
      <c r="N9" s="118"/>
      <c r="O9" s="118"/>
      <c r="P9" s="118"/>
      <c r="Q9" s="118"/>
      <c r="R9" s="118"/>
      <c r="S9" s="118"/>
    </row>
    <row r="10" spans="1:26" ht="18" x14ac:dyDescent="0.4">
      <c r="A10" s="69" t="s">
        <v>317</v>
      </c>
      <c r="B10" s="70" t="s">
        <v>318</v>
      </c>
      <c r="C10" s="126">
        <f>SUMIF(FP!J:J,Doklady!$B$1&amp;A10,FP!D:D)</f>
        <v>0</v>
      </c>
      <c r="D10" s="126">
        <f>C10-E10</f>
        <v>0</v>
      </c>
      <c r="E10" s="338">
        <f>SUMIF(K:K,A10,I:I)</f>
        <v>0</v>
      </c>
      <c r="F10" s="339"/>
      <c r="L10" s="120" t="s">
        <v>334</v>
      </c>
      <c r="M10" s="118"/>
      <c r="N10" s="118"/>
      <c r="O10" s="118"/>
      <c r="P10" s="118"/>
      <c r="Q10" s="118"/>
      <c r="R10" s="118"/>
      <c r="S10" s="118"/>
    </row>
    <row r="11" spans="1:26" ht="18" x14ac:dyDescent="0.4">
      <c r="A11" s="69" t="s">
        <v>319</v>
      </c>
      <c r="B11" s="70" t="s">
        <v>320</v>
      </c>
      <c r="C11" s="126">
        <f>SUMIF(FP!J:J,Doklady!$B$1&amp;A11,FP!D:D)</f>
        <v>56742</v>
      </c>
      <c r="D11" s="126">
        <f>+C11-E11</f>
        <v>5489.010000000002</v>
      </c>
      <c r="E11" s="349">
        <f>+I39-I42+I44-I47</f>
        <v>51252.99</v>
      </c>
      <c r="F11" s="350"/>
      <c r="J11" s="176"/>
      <c r="L11" s="161" t="str">
        <f>L41</f>
        <v>a - športy s lietajúcim diskom - bežné transfery</v>
      </c>
      <c r="M11" s="118"/>
      <c r="N11" s="118"/>
      <c r="O11" s="118"/>
      <c r="P11" s="118"/>
      <c r="Q11" s="118"/>
      <c r="R11" s="118"/>
      <c r="S11" s="118"/>
    </row>
    <row r="12" spans="1:26" ht="18" x14ac:dyDescent="0.4">
      <c r="A12" s="69" t="s">
        <v>321</v>
      </c>
      <c r="B12" s="70" t="s">
        <v>322</v>
      </c>
      <c r="C12" s="126">
        <f>SUMIF(FP!J:J,Doklady!$B$1&amp;A12,FP!D:D)</f>
        <v>0</v>
      </c>
      <c r="D12" s="126">
        <f>C12-E12</f>
        <v>0</v>
      </c>
      <c r="E12" s="338">
        <f>SUMIF(K:K,A12,I:I)</f>
        <v>0</v>
      </c>
      <c r="F12" s="339"/>
      <c r="J12" s="177"/>
      <c r="L12" s="161" t="str">
        <f>L42</f>
        <v>a - športy s lietajúcim diskom - kapitálové transfery</v>
      </c>
      <c r="N12" s="118"/>
      <c r="O12" s="118"/>
      <c r="P12" s="118"/>
      <c r="Q12" s="118"/>
      <c r="R12" s="118"/>
      <c r="S12" s="118"/>
    </row>
    <row r="13" spans="1:26" ht="18" x14ac:dyDescent="0.4">
      <c r="A13" s="69" t="s">
        <v>323</v>
      </c>
      <c r="B13" s="70" t="s">
        <v>324</v>
      </c>
      <c r="C13" s="126">
        <f>SUMIF(FP!J:J,Doklady!$B$1&amp;A13,FP!D:D)</f>
        <v>0</v>
      </c>
      <c r="D13" s="126">
        <f>C13-E13</f>
        <v>0</v>
      </c>
      <c r="E13" s="338">
        <f>SUMIF(K:K,A13,I:I)</f>
        <v>0</v>
      </c>
      <c r="F13" s="339"/>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1">
        <f>SUMIF(K:K,A14,I:I)</f>
        <v>0</v>
      </c>
      <c r="F14" s="352"/>
      <c r="J14" s="8"/>
      <c r="L14" s="161" t="str">
        <f>L47</f>
        <v>2</v>
      </c>
      <c r="N14" s="118"/>
      <c r="O14" s="118"/>
      <c r="P14" s="118"/>
      <c r="Q14" s="118"/>
      <c r="R14" s="118"/>
      <c r="S14" s="118"/>
    </row>
    <row r="15" spans="1:26" ht="5.25" customHeight="1" thickTop="1" x14ac:dyDescent="0.25">
      <c r="I15" s="9"/>
    </row>
    <row r="16" spans="1:26" s="9" customFormat="1" ht="13" x14ac:dyDescent="0.3">
      <c r="A16" s="117" t="s">
        <v>335</v>
      </c>
      <c r="B16" s="358" t="s">
        <v>336</v>
      </c>
      <c r="C16" s="359"/>
      <c r="D16" s="359"/>
      <c r="E16" s="359"/>
      <c r="F16" s="359"/>
      <c r="G16" s="359"/>
      <c r="H16" s="360"/>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53" t="s">
        <v>339</v>
      </c>
      <c r="C17" s="353"/>
      <c r="D17" s="353"/>
      <c r="E17" s="353"/>
      <c r="F17" s="353"/>
      <c r="G17" s="353"/>
      <c r="H17" s="353"/>
      <c r="I17" s="73">
        <f>SUMIF(FP!I:I,Doklady!$B$1&amp;A17,FP!D:D)</f>
        <v>56742</v>
      </c>
      <c r="T17" s="86"/>
    </row>
    <row r="18" spans="1:20" x14ac:dyDescent="0.2">
      <c r="A18" s="135" t="s">
        <v>340</v>
      </c>
      <c r="B18" s="353" t="s">
        <v>341</v>
      </c>
      <c r="C18" s="353"/>
      <c r="D18" s="353"/>
      <c r="E18" s="353"/>
      <c r="F18" s="353"/>
      <c r="G18" s="353"/>
      <c r="H18" s="353"/>
      <c r="I18" s="73">
        <f>SUMIF(FP!I:I,Doklady!$B$1&amp;A18,FP!D:D)</f>
        <v>0</v>
      </c>
    </row>
    <row r="19" spans="1:20" x14ac:dyDescent="0.2">
      <c r="A19" s="115" t="s">
        <v>342</v>
      </c>
      <c r="B19" s="353" t="s">
        <v>343</v>
      </c>
      <c r="C19" s="353"/>
      <c r="D19" s="353"/>
      <c r="E19" s="353"/>
      <c r="F19" s="353"/>
      <c r="G19" s="353"/>
      <c r="H19" s="353"/>
      <c r="I19" s="73">
        <f>SUMIF(FP!I:I,Doklady!$B$1&amp;A19,FP!D:D)</f>
        <v>0</v>
      </c>
    </row>
    <row r="20" spans="1:20" x14ac:dyDescent="0.2">
      <c r="A20" s="135" t="s">
        <v>344</v>
      </c>
      <c r="B20" s="342" t="s">
        <v>345</v>
      </c>
      <c r="C20" s="343"/>
      <c r="D20" s="343"/>
      <c r="E20" s="343"/>
      <c r="F20" s="343"/>
      <c r="G20" s="343"/>
      <c r="H20" s="344"/>
      <c r="I20" s="73">
        <f>SUMIF(FP!I:I,Doklady!$B$1&amp;A20,FP!D:D)</f>
        <v>0</v>
      </c>
      <c r="T20" s="86"/>
    </row>
    <row r="21" spans="1:20" x14ac:dyDescent="0.2">
      <c r="A21" s="115" t="s">
        <v>346</v>
      </c>
      <c r="B21" s="342" t="s">
        <v>347</v>
      </c>
      <c r="C21" s="343"/>
      <c r="D21" s="343"/>
      <c r="E21" s="343"/>
      <c r="F21" s="343"/>
      <c r="G21" s="343"/>
      <c r="H21" s="344"/>
      <c r="I21" s="73">
        <f>SUMIF(FP!I:I,Doklady!$B$1&amp;A21,FP!D:D)</f>
        <v>0</v>
      </c>
      <c r="T21" s="86"/>
    </row>
    <row r="22" spans="1:20" x14ac:dyDescent="0.2">
      <c r="A22" s="135" t="s">
        <v>348</v>
      </c>
      <c r="B22" s="361" t="s">
        <v>349</v>
      </c>
      <c r="C22" s="362"/>
      <c r="D22" s="362"/>
      <c r="E22" s="362"/>
      <c r="F22" s="362"/>
      <c r="G22" s="362"/>
      <c r="H22" s="363"/>
      <c r="I22" s="73">
        <f>SUMIF(FP!I:I,Doklady!$B$1&amp;A22,FP!D:D)</f>
        <v>0</v>
      </c>
      <c r="T22" s="86"/>
    </row>
    <row r="23" spans="1:20" x14ac:dyDescent="0.2">
      <c r="A23" s="115" t="s">
        <v>350</v>
      </c>
      <c r="B23" s="342" t="s">
        <v>351</v>
      </c>
      <c r="C23" s="343"/>
      <c r="D23" s="343"/>
      <c r="E23" s="343"/>
      <c r="F23" s="343"/>
      <c r="G23" s="343"/>
      <c r="H23" s="344"/>
      <c r="I23" s="73">
        <f>SUMIF(FP!I:I,Doklady!$B$1&amp;A23,FP!D:D)</f>
        <v>0</v>
      </c>
      <c r="T23" s="86"/>
    </row>
    <row r="24" spans="1:20" x14ac:dyDescent="0.2">
      <c r="A24" s="135" t="s">
        <v>352</v>
      </c>
      <c r="B24" s="342" t="s">
        <v>353</v>
      </c>
      <c r="C24" s="343"/>
      <c r="D24" s="343"/>
      <c r="E24" s="343"/>
      <c r="F24" s="343"/>
      <c r="G24" s="343"/>
      <c r="H24" s="344"/>
      <c r="I24" s="73">
        <f>SUMIF(FP!I:I,Doklady!$B$1&amp;A24,FP!D:D)</f>
        <v>0</v>
      </c>
      <c r="T24" s="86"/>
    </row>
    <row r="25" spans="1:20" x14ac:dyDescent="0.2">
      <c r="A25" s="115" t="s">
        <v>354</v>
      </c>
      <c r="B25" s="354" t="s">
        <v>355</v>
      </c>
      <c r="C25" s="355"/>
      <c r="D25" s="355"/>
      <c r="E25" s="355"/>
      <c r="F25" s="355"/>
      <c r="G25" s="355"/>
      <c r="H25" s="356"/>
      <c r="I25" s="73">
        <f>SUMIF(FP!I:I,Doklady!$B$1&amp;A25,FP!D:D)</f>
        <v>0</v>
      </c>
      <c r="T25" s="86"/>
    </row>
    <row r="26" spans="1:20" x14ac:dyDescent="0.2">
      <c r="A26" s="135" t="s">
        <v>356</v>
      </c>
      <c r="B26" s="342" t="s">
        <v>357</v>
      </c>
      <c r="C26" s="343"/>
      <c r="D26" s="343"/>
      <c r="E26" s="343"/>
      <c r="F26" s="343"/>
      <c r="G26" s="343"/>
      <c r="H26" s="344"/>
      <c r="I26" s="73">
        <f>SUMIF(FP!I:I,Doklady!$B$1&amp;A26,FP!D:D)</f>
        <v>0</v>
      </c>
      <c r="T26" s="86"/>
    </row>
    <row r="27" spans="1:20" x14ac:dyDescent="0.2">
      <c r="A27" s="115" t="s">
        <v>358</v>
      </c>
      <c r="B27" s="342" t="s">
        <v>359</v>
      </c>
      <c r="C27" s="343"/>
      <c r="D27" s="343"/>
      <c r="E27" s="343"/>
      <c r="F27" s="343"/>
      <c r="G27" s="343"/>
      <c r="H27" s="344"/>
      <c r="I27" s="73">
        <f>SUMIF(FP!I:I,Doklady!$B$1&amp;A27,FP!D:D)</f>
        <v>0</v>
      </c>
      <c r="T27" s="86"/>
    </row>
    <row r="28" spans="1:20" x14ac:dyDescent="0.2">
      <c r="A28" s="135" t="s">
        <v>360</v>
      </c>
      <c r="B28" s="342" t="s">
        <v>361</v>
      </c>
      <c r="C28" s="343"/>
      <c r="D28" s="343"/>
      <c r="E28" s="343"/>
      <c r="F28" s="343"/>
      <c r="G28" s="343"/>
      <c r="H28" s="344"/>
      <c r="I28" s="73">
        <f>SUMIF(FP!I:I,Doklady!$B$1&amp;A28,FP!D:D)</f>
        <v>0</v>
      </c>
      <c r="T28" s="86"/>
    </row>
    <row r="29" spans="1:20" x14ac:dyDescent="0.2">
      <c r="A29" s="115" t="s">
        <v>362</v>
      </c>
      <c r="B29" s="342" t="s">
        <v>363</v>
      </c>
      <c r="C29" s="343"/>
      <c r="D29" s="343"/>
      <c r="E29" s="343"/>
      <c r="F29" s="343"/>
      <c r="G29" s="343"/>
      <c r="H29" s="344"/>
      <c r="I29" s="73">
        <f>SUMIF(FP!I:I,Doklady!$B$1&amp;A29,FP!D:D)</f>
        <v>0</v>
      </c>
      <c r="T29" s="86"/>
    </row>
    <row r="30" spans="1:20" hidden="1" x14ac:dyDescent="0.2">
      <c r="A30" s="135" t="s">
        <v>364</v>
      </c>
      <c r="B30" s="342"/>
      <c r="C30" s="343"/>
      <c r="D30" s="343"/>
      <c r="E30" s="343"/>
      <c r="F30" s="343"/>
      <c r="G30" s="343"/>
      <c r="H30" s="344"/>
      <c r="I30" s="73">
        <f>SUMIF(FP!I:I,Doklady!$B$1&amp;A30,FP!D:D)</f>
        <v>0</v>
      </c>
      <c r="T30" s="86"/>
    </row>
    <row r="31" spans="1:20" hidden="1" x14ac:dyDescent="0.2">
      <c r="A31" s="115" t="s">
        <v>365</v>
      </c>
      <c r="B31" s="342"/>
      <c r="C31" s="343"/>
      <c r="D31" s="343"/>
      <c r="E31" s="343"/>
      <c r="F31" s="343"/>
      <c r="G31" s="343"/>
      <c r="H31" s="344"/>
      <c r="I31" s="73">
        <f>SUMIF(FP!I:I,Doklady!$B$1&amp;A31,FP!D:D)</f>
        <v>0</v>
      </c>
      <c r="T31" s="86"/>
    </row>
    <row r="32" spans="1:20" hidden="1" x14ac:dyDescent="0.2">
      <c r="A32" s="135" t="s">
        <v>366</v>
      </c>
      <c r="B32" s="364"/>
      <c r="C32" s="365"/>
      <c r="D32" s="365"/>
      <c r="E32" s="365"/>
      <c r="F32" s="365"/>
      <c r="G32" s="365"/>
      <c r="H32" s="366"/>
      <c r="I32" s="73">
        <f>SUMIF(FP!I:I,Doklady!$B$1&amp;A32,FP!D:D)</f>
        <v>0</v>
      </c>
      <c r="T32" s="86"/>
    </row>
    <row r="33" spans="1:21" hidden="1" x14ac:dyDescent="0.2">
      <c r="A33" s="115" t="s">
        <v>367</v>
      </c>
      <c r="B33" s="364"/>
      <c r="C33" s="365"/>
      <c r="D33" s="365"/>
      <c r="E33" s="365"/>
      <c r="F33" s="365"/>
      <c r="G33" s="365"/>
      <c r="H33" s="366"/>
      <c r="I33" s="73">
        <f>SUMIF(FP!I:I,Doklady!$B$1&amp;A33,FP!D:D)</f>
        <v>0</v>
      </c>
      <c r="T33" s="86"/>
    </row>
    <row r="34" spans="1:21" hidden="1" x14ac:dyDescent="0.2">
      <c r="A34" s="135" t="s">
        <v>368</v>
      </c>
      <c r="B34" s="367"/>
      <c r="C34" s="367"/>
      <c r="D34" s="367"/>
      <c r="E34" s="367"/>
      <c r="F34" s="367"/>
      <c r="G34" s="367"/>
      <c r="H34" s="367"/>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335</v>
      </c>
      <c r="B38" s="67" t="str">
        <f>"Šport "&amp;K40</f>
        <v>Šport športy s lietajúcim diskom</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11348.400000000001</v>
      </c>
      <c r="G39" s="78">
        <f>+MAX(I39-C39-D39-E39-F39-H39,0)</f>
        <v>45393.599999999999</v>
      </c>
      <c r="H39" s="78">
        <f>+IFERROR(VLOOKUP(K40&amp;" - kapitálové transfery",B$53:C$90,2,0),0)</f>
        <v>0</v>
      </c>
      <c r="I39" s="73">
        <f>SUMIF(FP!K:K,K40,FP!D:D)</f>
        <v>56742</v>
      </c>
      <c r="L39" s="84">
        <f>COUNTIF(FP!N:N,Doklady!B1&amp;"aK")</f>
        <v>0</v>
      </c>
      <c r="T39" s="86"/>
    </row>
    <row r="40" spans="1:21" x14ac:dyDescent="0.2">
      <c r="A40" s="115" t="s">
        <v>338</v>
      </c>
      <c r="B40" s="116" t="s">
        <v>377</v>
      </c>
      <c r="C40" s="78">
        <f>DSUM(Doklady!A103:J10000,"GGG",Spolu!L40:M42)</f>
        <v>0</v>
      </c>
      <c r="D40" s="78">
        <f>DSUM(Doklady!A103:J10000,"GGG",Spolu!N40:O42)</f>
        <v>4269.92</v>
      </c>
      <c r="E40" s="78">
        <f>DSUM(Doklady!A103:J10000,"GGG",Spolu!P40:Q42)</f>
        <v>330</v>
      </c>
      <c r="F40" s="78">
        <f>DSUM(Doklady!A103:J10000,"GGG",Spolu!R40:S42)</f>
        <v>889.08999999999992</v>
      </c>
      <c r="G40" s="78">
        <f>DSUM(Doklady!A103:J10000,"GGG",Spolu!T40:U42)-H40</f>
        <v>0</v>
      </c>
      <c r="H40" s="78">
        <f>+IFERROR(VLOOKUP(K40&amp;" - kapitálové transfery",B$53:D$90,3,0),0)</f>
        <v>0</v>
      </c>
      <c r="I40" s="73">
        <f>+C40+D40+E40+F40+G40+H40</f>
        <v>5489.01</v>
      </c>
      <c r="J40" s="218" t="str">
        <f>+K45</f>
        <v>.</v>
      </c>
      <c r="K40" s="218" t="str">
        <f>IF(L38&gt;0,INDEX(FP!K:K,Doklady!B2),".")</f>
        <v>športy s lietajúcim diskom</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51252.99</v>
      </c>
      <c r="J41" s="219">
        <f>+K46</f>
        <v>0</v>
      </c>
      <c r="K41" s="219">
        <f>+I41-H41</f>
        <v>51252.99</v>
      </c>
      <c r="L41" s="161" t="str">
        <f>IF(L38&gt;0,"a - "&amp;INDEX(FP!C:C,Doklady!B2),2)</f>
        <v>a - športy s lietajúcim diskom - bežné transfery</v>
      </c>
      <c r="M41" s="120">
        <v>1</v>
      </c>
      <c r="N41" s="161" t="str">
        <f>+L41</f>
        <v>a - športy s lietajúcim diskom - bežné transfery</v>
      </c>
      <c r="O41" s="120">
        <v>2</v>
      </c>
      <c r="P41" s="161" t="str">
        <f>+L41</f>
        <v>a - športy s lietajúcim diskom - bežné transfery</v>
      </c>
      <c r="Q41" s="120">
        <v>3</v>
      </c>
      <c r="R41" s="161" t="str">
        <f>+L41</f>
        <v>a - športy s lietajúcim diskom - bežné transfery</v>
      </c>
      <c r="S41" s="120">
        <v>4</v>
      </c>
      <c r="T41" s="161" t="str">
        <f>+L41</f>
        <v>a - športy s lietajúcim diskom - bežné transfery</v>
      </c>
      <c r="U41" s="120">
        <v>5</v>
      </c>
    </row>
    <row r="42" spans="1:21" ht="10.5" customHeight="1" x14ac:dyDescent="0.2">
      <c r="A42" s="115" t="s">
        <v>338</v>
      </c>
      <c r="B42" s="116" t="s">
        <v>380</v>
      </c>
      <c r="C42" s="73">
        <f>+C40</f>
        <v>0</v>
      </c>
      <c r="D42" s="216">
        <f>+D40</f>
        <v>4269.92</v>
      </c>
      <c r="E42" s="216">
        <f>+E40</f>
        <v>330</v>
      </c>
      <c r="F42" s="216">
        <f>+MIN(F39:F40)</f>
        <v>889.08999999999992</v>
      </c>
      <c r="G42" s="216">
        <f>+MIN(G39+MAX(F39-F40,0)-MAX(E40-E39,0)-MAX(D40-D39,0)-MAX(C40-C39,0),G40)</f>
        <v>0</v>
      </c>
      <c r="H42" s="216">
        <f>+MIN(H39:H40)</f>
        <v>0</v>
      </c>
      <c r="I42" s="73">
        <f>+C42+D42+E42+MIN(F39:F40)+G42+H42</f>
        <v>5489.01</v>
      </c>
      <c r="J42" s="219">
        <f>+K47</f>
        <v>0</v>
      </c>
      <c r="K42" s="219">
        <f>+I42-H42</f>
        <v>5489.01</v>
      </c>
      <c r="L42" s="161" t="str">
        <f>+SUBSTITUTE(L41,"bežné","kapitálové")</f>
        <v>a - športy s lietajúcim diskom - kapitálové transfery</v>
      </c>
      <c r="M42" s="120">
        <v>1</v>
      </c>
      <c r="N42" s="161" t="str">
        <f>+L42</f>
        <v>a - športy s lietajúcim diskom - kapitálové transfery</v>
      </c>
      <c r="O42" s="120">
        <v>2</v>
      </c>
      <c r="P42" s="161" t="str">
        <f>+L42</f>
        <v>a - športy s lietajúcim diskom - kapitálové transfery</v>
      </c>
      <c r="Q42" s="120">
        <v>3</v>
      </c>
      <c r="R42" s="161" t="str">
        <f>+L42</f>
        <v>a - športy s lietajúcim diskom - kapitálové transfery</v>
      </c>
      <c r="S42" s="120">
        <v>4</v>
      </c>
      <c r="T42" s="161" t="str">
        <f>+L42</f>
        <v>a - športy s lietajúcim diskom - kapitálové transfery</v>
      </c>
      <c r="U42" s="120">
        <v>5</v>
      </c>
    </row>
    <row r="43" spans="1:21" ht="31.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0.5"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0"/>
      <c r="B50" s="341"/>
      <c r="C50" s="341"/>
      <c r="D50" s="341"/>
      <c r="E50" s="341"/>
      <c r="F50" s="341"/>
      <c r="G50" s="341"/>
      <c r="H50" s="341"/>
      <c r="I50" s="341"/>
      <c r="T50" s="86"/>
    </row>
    <row r="51" spans="1:20" x14ac:dyDescent="0.2">
      <c r="A51" s="112"/>
      <c r="B51" s="113"/>
      <c r="C51" s="111"/>
      <c r="D51" s="114"/>
      <c r="E51" s="114"/>
      <c r="F51" s="114"/>
      <c r="G51" s="222"/>
      <c r="H51" s="114"/>
      <c r="I51" s="114"/>
      <c r="T51" s="86"/>
    </row>
    <row r="52" spans="1:20" ht="21"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športy s lietajúcim diskom - bežné transfery</v>
      </c>
      <c r="C53" s="73">
        <f>IF(A53&lt;&gt;"",INDEX(FP!D:D,Doklady!B$2+(ROW()-53)),"")</f>
        <v>56742</v>
      </c>
      <c r="D53" s="73">
        <f>IF(A53&lt;&gt;"",Doklady!I1-Doklady!J1,"")</f>
        <v>5489.0099999999993</v>
      </c>
      <c r="E53" s="73">
        <f>IF(A53&lt;&gt;"",MIN(D53,C53)*Doklady!C1/(1-Doklady!C1),"")</f>
        <v>0</v>
      </c>
      <c r="F53" s="71">
        <f>IF(A53&lt;&gt;"",Doklady!J1,"")</f>
        <v>0</v>
      </c>
      <c r="G53" s="73">
        <f>+IFERROR(HLOOKUP(IF(RIGHT(B53,15)="bežné transfery",LEFT(B53,LEN(B53)-18),0),$J$40:$K$42,3,0),MIN(C53,D53))</f>
        <v>5489.01</v>
      </c>
      <c r="H53" s="71"/>
      <c r="I53" s="73">
        <f>IF(A53&lt;&gt;"",MAX(IF(G53&lt;C53,C53-G53,0)+IF(F53&lt;E53,E53-F53,0),0),0)</f>
        <v>51252.99</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5">
      <c r="A130" s="226" t="str">
        <f>Doklady!D66</f>
        <v/>
      </c>
      <c r="B130" s="227" t="s">
        <v>327</v>
      </c>
      <c r="C130" s="228">
        <f>SUM(C53:C129)</f>
        <v>56742</v>
      </c>
      <c r="D130" s="228">
        <f t="shared" ref="D130:I130" si="9">SUM(D53:D129)</f>
        <v>5489.0099999999993</v>
      </c>
      <c r="E130" s="228">
        <f t="shared" si="9"/>
        <v>0</v>
      </c>
      <c r="F130" s="228">
        <f t="shared" si="9"/>
        <v>0</v>
      </c>
      <c r="G130" s="228">
        <f t="shared" si="9"/>
        <v>5489.01</v>
      </c>
      <c r="H130" s="228">
        <f t="shared" si="9"/>
        <v>0</v>
      </c>
      <c r="I130" s="228">
        <f t="shared" si="9"/>
        <v>51252.99</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395</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396</v>
      </c>
      <c r="B139" s="9"/>
      <c r="C139" s="74"/>
      <c r="D139" s="74"/>
      <c r="E139" s="74"/>
      <c r="F139" s="74"/>
      <c r="G139" s="74"/>
      <c r="H139" s="74"/>
      <c r="I139" s="74"/>
      <c r="J139" s="85"/>
    </row>
    <row r="140" spans="1:26" ht="12.5" x14ac:dyDescent="0.25">
      <c r="A140" s="9"/>
      <c r="B140" s="281"/>
      <c r="C140" s="229"/>
      <c r="D140" s="357"/>
      <c r="E140" s="357"/>
      <c r="F140" s="357"/>
      <c r="G140" s="357"/>
      <c r="H140" s="357"/>
      <c r="I140" s="357"/>
      <c r="J140" s="85"/>
    </row>
    <row r="141" spans="1:26" ht="68.25" customHeight="1" x14ac:dyDescent="0.25">
      <c r="A141" s="9"/>
      <c r="B141" s="283" t="s">
        <v>397</v>
      </c>
      <c r="C141" s="214"/>
      <c r="D141" s="337" t="s">
        <v>398</v>
      </c>
      <c r="E141" s="337"/>
      <c r="F141" s="337"/>
      <c r="G141" s="337"/>
      <c r="H141" s="337"/>
      <c r="I141" s="337"/>
      <c r="J141" s="85"/>
    </row>
    <row r="142" spans="1:26" ht="12.5" x14ac:dyDescent="0.25">
      <c r="A142" s="9"/>
      <c r="B142" s="282"/>
      <c r="C142" s="214"/>
      <c r="D142" s="263"/>
      <c r="E142" s="263"/>
      <c r="F142" s="263"/>
      <c r="G142" s="263"/>
      <c r="H142" s="263"/>
      <c r="I142" s="263"/>
      <c r="J142" s="85"/>
    </row>
    <row r="143" spans="1:26" ht="12.5" x14ac:dyDescent="0.25">
      <c r="A143" s="9"/>
      <c r="B143" s="282"/>
      <c r="C143" s="214"/>
      <c r="D143" s="263"/>
      <c r="E143" s="263"/>
      <c r="F143" s="263"/>
      <c r="G143" s="263"/>
      <c r="H143" s="263"/>
      <c r="I143" s="263"/>
      <c r="J143" s="85"/>
    </row>
    <row r="144" spans="1:26" ht="12.5" x14ac:dyDescent="0.25">
      <c r="A144" s="9"/>
      <c r="B144" s="283"/>
      <c r="C144" s="214"/>
      <c r="D144" s="263"/>
      <c r="E144" s="263"/>
      <c r="F144" s="263"/>
      <c r="G144" s="263"/>
      <c r="H144" s="263"/>
      <c r="I144" s="263"/>
      <c r="J144" s="85"/>
    </row>
    <row r="145" spans="2:2" ht="12.5"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D112" sqref="D112"/>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a - športy s lietajúcim diskom - bežné transfery</v>
      </c>
      <c r="B1" s="232" t="str">
        <f>INDEX(Adr!A:A,B102+1)</f>
        <v>31749852</v>
      </c>
      <c r="C1" s="233">
        <f>IF(ROW()&lt;=B$3,INDEX(FP!E:E,B$2+ROW()-1),"")</f>
        <v>0</v>
      </c>
      <c r="D1" s="234" t="str">
        <f>IF(ROW()&lt;=B$3,INDEX(FP!F:F,B$2+ROW()-1),"")</f>
        <v>a</v>
      </c>
      <c r="E1" s="234"/>
      <c r="F1" s="234" t="str">
        <f>IF(ROW()&lt;=B$3,INDEX(FP!G:G,B$2+ROW()-1),"")</f>
        <v>026 02</v>
      </c>
      <c r="G1" s="234"/>
      <c r="H1" s="235" t="str">
        <f>IF(ROW()&lt;=B$3,INDEX(FP!C:C,B$2+ROW()-1),"")</f>
        <v>športy s lietajúcim diskom - bežné transfery</v>
      </c>
      <c r="I1" s="236">
        <f t="shared" ref="I1:I6" si="0">IF(ROW()&lt;=B$3,SUMIF(A$107:A$10042,A1,I$107:I$10042),"")</f>
        <v>5489.0099999999993</v>
      </c>
      <c r="J1" s="236">
        <f t="shared" ref="J1:J32" si="1">IF(ROW()&lt;=B$3,SUMIFS(I$103:I$50042,A$103:A$50042,K1,J$103:J$50042,L1),"")</f>
        <v>0</v>
      </c>
      <c r="K1" s="110" t="str">
        <f>$A1</f>
        <v>a - športy s lietajúcim diskom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9</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5" customHeight="1" x14ac:dyDescent="0.35">
      <c r="A100" s="314" t="s">
        <v>1505</v>
      </c>
      <c r="B100" s="314"/>
      <c r="C100" s="314"/>
      <c r="D100" s="314"/>
      <c r="E100" s="314"/>
      <c r="F100" s="314"/>
      <c r="G100" s="314"/>
      <c r="H100" s="314"/>
      <c r="I100" s="316" t="s">
        <v>1488</v>
      </c>
      <c r="J100" s="316"/>
      <c r="K100" s="89"/>
    </row>
    <row r="101" spans="1:25" ht="15.5" x14ac:dyDescent="0.35">
      <c r="A101" s="317"/>
      <c r="B101" s="317"/>
      <c r="C101" s="317"/>
      <c r="D101" s="317"/>
      <c r="E101" s="317"/>
      <c r="F101" s="317"/>
      <c r="G101" s="317"/>
      <c r="H101" s="317"/>
      <c r="I101" s="315">
        <v>45887</v>
      </c>
      <c r="J101" s="315"/>
    </row>
    <row r="102" spans="1:25" ht="14" x14ac:dyDescent="0.3">
      <c r="A102" s="249" t="s">
        <v>403</v>
      </c>
      <c r="B102" s="250">
        <v>6</v>
      </c>
      <c r="C102" s="250"/>
      <c r="D102" s="251"/>
      <c r="E102" s="251"/>
      <c r="F102" s="251"/>
      <c r="G102" s="251"/>
      <c r="H102" s="251"/>
      <c r="I102" s="86"/>
      <c r="J102" s="220"/>
    </row>
    <row r="103" spans="1:25" s="83" customFormat="1" ht="10.5"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18" t="s">
        <v>412</v>
      </c>
      <c r="B105" s="319"/>
      <c r="C105" s="319"/>
      <c r="D105" s="319"/>
      <c r="E105" s="319"/>
      <c r="F105" s="319"/>
      <c r="G105" s="319"/>
      <c r="H105" s="319"/>
      <c r="I105" s="319"/>
      <c r="J105" s="320"/>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x14ac:dyDescent="0.25">
      <c r="A107" s="14" t="s">
        <v>1506</v>
      </c>
      <c r="B107" s="14" t="s">
        <v>1534</v>
      </c>
      <c r="C107" s="14" t="s">
        <v>1542</v>
      </c>
      <c r="D107" s="16" t="s">
        <v>1512</v>
      </c>
      <c r="E107" s="16" t="s">
        <v>1514</v>
      </c>
      <c r="F107" s="14" t="s">
        <v>1510</v>
      </c>
      <c r="G107" s="14" t="s">
        <v>1509</v>
      </c>
      <c r="H107" s="14" t="s">
        <v>1515</v>
      </c>
      <c r="I107" s="15">
        <v>195</v>
      </c>
      <c r="J107" s="77">
        <v>3</v>
      </c>
      <c r="K107" s="92"/>
    </row>
    <row r="108" spans="1:25" ht="20" x14ac:dyDescent="0.25">
      <c r="A108" s="14" t="s">
        <v>1506</v>
      </c>
      <c r="B108" s="14" t="s">
        <v>1535</v>
      </c>
      <c r="C108" s="14" t="s">
        <v>1543</v>
      </c>
      <c r="D108" s="16" t="s">
        <v>1513</v>
      </c>
      <c r="E108" s="16" t="s">
        <v>1514</v>
      </c>
      <c r="F108" s="14" t="s">
        <v>1511</v>
      </c>
      <c r="G108" s="14" t="s">
        <v>1507</v>
      </c>
      <c r="H108" s="14" t="s">
        <v>1508</v>
      </c>
      <c r="I108" s="15">
        <v>135</v>
      </c>
      <c r="J108" s="77">
        <v>3</v>
      </c>
      <c r="K108" s="92"/>
    </row>
    <row r="109" spans="1:25" ht="12.5" x14ac:dyDescent="0.25">
      <c r="A109" s="14" t="s">
        <v>1506</v>
      </c>
      <c r="B109" s="14" t="s">
        <v>1536</v>
      </c>
      <c r="C109" s="14" t="s">
        <v>1544</v>
      </c>
      <c r="D109" s="16"/>
      <c r="E109" s="16" t="s">
        <v>1518</v>
      </c>
      <c r="F109" s="14" t="s">
        <v>1525</v>
      </c>
      <c r="G109" s="14"/>
      <c r="H109" s="14" t="s">
        <v>1524</v>
      </c>
      <c r="I109" s="15">
        <v>50</v>
      </c>
      <c r="J109" s="77">
        <v>4</v>
      </c>
      <c r="K109" s="92"/>
    </row>
    <row r="110" spans="1:25" ht="12.5" x14ac:dyDescent="0.25">
      <c r="A110" s="14" t="s">
        <v>1506</v>
      </c>
      <c r="B110" s="14" t="s">
        <v>1537</v>
      </c>
      <c r="C110" s="14" t="s">
        <v>1545</v>
      </c>
      <c r="D110" s="16"/>
      <c r="E110" s="16" t="s">
        <v>1514</v>
      </c>
      <c r="F110" s="14" t="s">
        <v>1527</v>
      </c>
      <c r="G110" s="14"/>
      <c r="H110" s="14" t="s">
        <v>1526</v>
      </c>
      <c r="I110" s="15">
        <v>620.27</v>
      </c>
      <c r="J110" s="77">
        <v>4</v>
      </c>
      <c r="K110" s="92"/>
    </row>
    <row r="111" spans="1:25" ht="12.5" x14ac:dyDescent="0.25">
      <c r="A111" s="14" t="s">
        <v>1506</v>
      </c>
      <c r="B111" s="14" t="s">
        <v>1538</v>
      </c>
      <c r="C111" s="14" t="s">
        <v>1546</v>
      </c>
      <c r="D111" s="16"/>
      <c r="E111" s="16" t="s">
        <v>1514</v>
      </c>
      <c r="F111" s="14" t="s">
        <v>1528</v>
      </c>
      <c r="G111" s="14" t="s">
        <v>1530</v>
      </c>
      <c r="H111" s="14" t="s">
        <v>1529</v>
      </c>
      <c r="I111" s="15">
        <v>2362.19</v>
      </c>
      <c r="J111" s="77">
        <v>2</v>
      </c>
      <c r="K111" s="92"/>
    </row>
    <row r="112" spans="1:25" ht="20" x14ac:dyDescent="0.25">
      <c r="A112" s="14" t="s">
        <v>1506</v>
      </c>
      <c r="B112" s="14" t="s">
        <v>1539</v>
      </c>
      <c r="C112" s="14" t="s">
        <v>1547</v>
      </c>
      <c r="D112" s="16"/>
      <c r="E112" s="16" t="s">
        <v>1519</v>
      </c>
      <c r="F112" s="14" t="s">
        <v>1533</v>
      </c>
      <c r="G112" s="14" t="s">
        <v>1532</v>
      </c>
      <c r="H112" s="14" t="s">
        <v>1531</v>
      </c>
      <c r="I112" s="15">
        <v>1752.75</v>
      </c>
      <c r="J112" s="77">
        <v>2</v>
      </c>
      <c r="K112" s="92"/>
    </row>
    <row r="113" spans="1:11" ht="12.5" x14ac:dyDescent="0.25">
      <c r="A113" s="14" t="s">
        <v>1506</v>
      </c>
      <c r="B113" s="14" t="s">
        <v>1540</v>
      </c>
      <c r="C113" s="14" t="s">
        <v>1540</v>
      </c>
      <c r="D113" s="16"/>
      <c r="E113" s="16" t="s">
        <v>1520</v>
      </c>
      <c r="F113" s="14" t="s">
        <v>1516</v>
      </c>
      <c r="G113" s="14"/>
      <c r="H113" s="14" t="s">
        <v>1517</v>
      </c>
      <c r="I113" s="15">
        <v>218.82</v>
      </c>
      <c r="J113" s="77">
        <v>4</v>
      </c>
      <c r="K113" s="92"/>
    </row>
    <row r="114" spans="1:11" ht="12.5" x14ac:dyDescent="0.25">
      <c r="A114" s="14" t="s">
        <v>1506</v>
      </c>
      <c r="B114" s="14" t="s">
        <v>1541</v>
      </c>
      <c r="C114" s="14" t="s">
        <v>1548</v>
      </c>
      <c r="D114" s="16"/>
      <c r="E114" s="16" t="s">
        <v>1520</v>
      </c>
      <c r="F114" s="14" t="s">
        <v>1521</v>
      </c>
      <c r="G114" s="14" t="s">
        <v>1522</v>
      </c>
      <c r="H114" s="14" t="s">
        <v>1523</v>
      </c>
      <c r="I114" s="15">
        <v>154.97999999999999</v>
      </c>
      <c r="J114" s="77">
        <v>2</v>
      </c>
      <c r="K114" s="92"/>
    </row>
    <row r="115" spans="1:11" ht="12.5" x14ac:dyDescent="0.25">
      <c r="A115" s="14"/>
      <c r="B115" s="14"/>
      <c r="C115" s="14"/>
      <c r="D115" s="16"/>
      <c r="E115" s="16"/>
      <c r="F115" s="14"/>
      <c r="G115" s="14"/>
      <c r="H115" s="14"/>
      <c r="I115" s="15"/>
      <c r="J115" s="77"/>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08984375" defaultRowHeight="10" x14ac:dyDescent="0.2"/>
  <cols>
    <col min="1" max="1" width="9.54296875" style="179" bestFit="1" customWidth="1"/>
    <col min="2" max="2" width="46.08984375" style="180" bestFit="1" customWidth="1"/>
    <col min="3" max="3" width="15.453125" style="180" bestFit="1" customWidth="1"/>
    <col min="4" max="4" width="20.54296875" style="180" customWidth="1"/>
    <col min="5" max="5" width="21" style="180" bestFit="1" customWidth="1"/>
    <col min="6" max="6" width="6.08984375" style="180" bestFit="1" customWidth="1"/>
    <col min="7" max="7" width="22.90625" style="180" customWidth="1"/>
    <col min="8" max="8" width="23.54296875" style="180" customWidth="1"/>
    <col min="9" max="9" width="26.90625" style="180" customWidth="1"/>
    <col min="10" max="10" width="19" style="180" customWidth="1"/>
    <col min="11" max="11" width="19.90625" style="180" bestFit="1" customWidth="1"/>
    <col min="12" max="12" width="14.453125" style="181" customWidth="1"/>
    <col min="13" max="14" width="24.90625" style="180" bestFit="1" customWidth="1"/>
    <col min="15" max="15" width="24.453125" style="180" bestFit="1" customWidth="1"/>
    <col min="16" max="16" width="24.90625" style="180" bestFit="1" customWidth="1"/>
    <col min="17" max="16384" width="9.089843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69" t="str">
        <f>Spolu!C3&amp;", "&amp;Spolu!C6</f>
        <v>Slovenská asociácia Frisbee, Malženice 511, Malženice, 919 29</v>
      </c>
      <c r="B1" s="369"/>
      <c r="C1" s="36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0" t="s">
        <v>1276</v>
      </c>
      <c r="F3" s="371"/>
      <c r="N3" s="137" t="str">
        <f t="shared" si="0"/>
        <v>c - príspevok Slovenskému paralympijskému výboru</v>
      </c>
      <c r="O3" s="137" t="s">
        <v>342</v>
      </c>
      <c r="P3" s="137" t="s">
        <v>343</v>
      </c>
    </row>
    <row r="4" spans="1:16" ht="45.75" customHeight="1" x14ac:dyDescent="0.25">
      <c r="E4" s="371"/>
      <c r="F4" s="371"/>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1"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15" customHeight="1" thickBot="1" x14ac:dyDescent="0.3">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t="str">
        <f>Spolu!C4</f>
        <v>31749852</v>
      </c>
      <c r="E18" s="147" t="s">
        <v>1301</v>
      </c>
      <c r="F18" s="284">
        <v>421947749446</v>
      </c>
      <c r="N18" s="137" t="str">
        <f t="shared" si="0"/>
        <v xml:space="preserve">r - </v>
      </c>
      <c r="O18" s="137" t="s">
        <v>368</v>
      </c>
    </row>
    <row r="19" spans="1:16" x14ac:dyDescent="0.25">
      <c r="E19" s="147" t="s">
        <v>1302</v>
      </c>
      <c r="F19" s="284">
        <v>421947749756</v>
      </c>
    </row>
    <row r="20" spans="1:16" ht="16" thickBot="1" x14ac:dyDescent="0.3">
      <c r="A20" s="139" t="s">
        <v>396</v>
      </c>
      <c r="B20" s="143">
        <f>F6</f>
        <v>0</v>
      </c>
      <c r="E20" s="208"/>
      <c r="F20" s="285"/>
    </row>
    <row r="21" spans="1:16" ht="189" customHeight="1" x14ac:dyDescent="0.25">
      <c r="B21" s="211"/>
      <c r="C21" s="144"/>
    </row>
    <row r="22" spans="1:16" ht="39.75" customHeight="1" x14ac:dyDescent="0.25">
      <c r="B22" s="368" t="s">
        <v>1303</v>
      </c>
      <c r="C22" s="36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Rada mládeže Slovenska RmS</cp:lastModifiedBy>
  <cp:revision/>
  <cp:lastPrinted>2025-01-23T13:30:36Z</cp:lastPrinted>
  <dcterms:created xsi:type="dcterms:W3CDTF">2017-02-20T06:20:12Z</dcterms:created>
  <dcterms:modified xsi:type="dcterms:W3CDTF">2026-03-31T10:06:36Z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