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to_zošit" defaultThemeVersion="124226"/>
  <mc:AlternateContent xmlns:mc="http://schemas.openxmlformats.org/markup-compatibility/2006">
    <mc:Choice Requires="x15">
      <x15ac:absPath xmlns:x15ac="http://schemas.microsoft.com/office/spreadsheetml/2010/11/ac" url="C:\Peto\SAF\UCTO 2025\!Priebezne zverejnovanie cerpania\"/>
    </mc:Choice>
  </mc:AlternateContent>
  <xr:revisionPtr revIDLastSave="0" documentId="13_ncr:1_{16FBD124-E0E2-4BA1-BAEE-A8D75239E5FD}" xr6:coauthVersionLast="47" xr6:coauthVersionMax="47" xr10:uidLastSave="{00000000-0000-0000-0000-000000000000}"/>
  <bookViews>
    <workbookView xWindow="-108" yWindow="-108" windowWidth="23256" windowHeight="12456"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 name="_xlnm.Print_Titles" localSheetId="4">Doklady!$104:$104</definedName>
    <definedName name="_xlnm.Print_Titles" localSheetId="1">Príklady!$7:$7</definedName>
    <definedName name="_xlnm.Print_Titles" localSheetId="3">Spolu!$52:$52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N6" i="11" s="1"/>
  <c r="P7" i="11"/>
  <c r="N7" i="11" s="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N3" i="1" s="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N135" i="1" s="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N344" i="1" s="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N118" i="1" s="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N488" i="1" s="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N483" i="1" s="1"/>
  <c r="I484" i="1"/>
  <c r="N484" i="1" s="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N530" i="1" s="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N553" i="1" s="1"/>
  <c r="I554" i="1"/>
  <c r="N554" i="1" s="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N577" i="1" s="1"/>
  <c r="I578" i="1"/>
  <c r="I579" i="1"/>
  <c r="I580" i="1"/>
  <c r="N580" i="1" s="1"/>
  <c r="I581" i="1"/>
  <c r="N581" i="1" s="1"/>
  <c r="I582" i="1"/>
  <c r="I583" i="1"/>
  <c r="N583" i="1" s="1"/>
  <c r="I584" i="1"/>
  <c r="N584" i="1" s="1"/>
  <c r="I585" i="1"/>
  <c r="N585" i="1" s="1"/>
  <c r="I586" i="1"/>
  <c r="N586" i="1" s="1"/>
  <c r="I587" i="1"/>
  <c r="I588" i="1"/>
  <c r="I589" i="1"/>
  <c r="I590" i="1"/>
  <c r="I591" i="1"/>
  <c r="N591" i="1" s="1"/>
  <c r="I592" i="1"/>
  <c r="N592" i="1" s="1"/>
  <c r="I593" i="1"/>
  <c r="N593" i="1" s="1"/>
  <c r="I594" i="1"/>
  <c r="N594" i="1" s="1"/>
  <c r="I595" i="1"/>
  <c r="N595" i="1" s="1"/>
  <c r="I596" i="1"/>
  <c r="N596" i="1" s="1"/>
  <c r="I597" i="1"/>
  <c r="I598" i="1"/>
  <c r="I599" i="1"/>
  <c r="I600" i="1"/>
  <c r="I601" i="1"/>
  <c r="N601" i="1" s="1"/>
  <c r="I602" i="1"/>
  <c r="N602" i="1" s="1"/>
  <c r="I603" i="1"/>
  <c r="I604" i="1"/>
  <c r="N604" i="1" s="1"/>
  <c r="I605" i="1"/>
  <c r="N605" i="1" s="1"/>
  <c r="I606" i="1"/>
  <c r="N606" i="1" s="1"/>
  <c r="I607" i="1"/>
  <c r="N607" i="1" s="1"/>
  <c r="I608" i="1"/>
  <c r="N608" i="1" s="1"/>
  <c r="I609" i="1"/>
  <c r="N609" i="1" s="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N145" i="1" s="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N179" i="1" s="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B484" i="1"/>
  <c r="M484" i="1" s="1"/>
  <c r="L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B554" i="1"/>
  <c r="M554" i="1" s="1"/>
  <c r="L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N603" i="1"/>
  <c r="B604" i="1"/>
  <c r="M604" i="1" s="1"/>
  <c r="L604" i="1"/>
  <c r="B605" i="1"/>
  <c r="M605" i="1" s="1"/>
  <c r="L605" i="1"/>
  <c r="B606" i="1"/>
  <c r="M606" i="1" s="1"/>
  <c r="L606" i="1"/>
  <c r="B607" i="1"/>
  <c r="M607" i="1" s="1"/>
  <c r="L607" i="1"/>
  <c r="B608" i="1"/>
  <c r="M608" i="1" s="1"/>
  <c r="L608" i="1"/>
  <c r="B609" i="1"/>
  <c r="M609" i="1" s="1"/>
  <c r="L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B3" i="6"/>
  <c r="B4" i="6"/>
  <c r="H2" i="7"/>
  <c r="N366" i="1"/>
  <c r="I33" i="9" l="1"/>
  <c r="C18" i="10"/>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K46" i="4" s="1"/>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C14" i="6"/>
  <c r="L121" i="9"/>
  <c r="E121" i="9"/>
  <c r="K16" i="4"/>
  <c r="J16" i="4" s="1"/>
  <c r="M17" i="4"/>
  <c r="L85" i="9"/>
  <c r="C85" i="9"/>
  <c r="K48" i="4"/>
  <c r="C65" i="9"/>
  <c r="L65" i="9"/>
  <c r="C13" i="6"/>
  <c r="C10" i="6"/>
  <c r="K40" i="9"/>
  <c r="L41" i="9"/>
  <c r="L43" i="9"/>
  <c r="L46" i="9" s="1"/>
  <c r="K45" i="9"/>
  <c r="B43" i="9" s="1"/>
  <c r="M13" i="4"/>
  <c r="K12" i="4"/>
  <c r="J12" i="4" s="1"/>
  <c r="C11" i="6"/>
  <c r="L63" i="9" l="1"/>
  <c r="K22" i="4"/>
  <c r="J22" i="4" s="1"/>
  <c r="M121" i="9"/>
  <c r="K78" i="4"/>
  <c r="M101" i="9"/>
  <c r="K82" i="4"/>
  <c r="M47" i="4"/>
  <c r="M75" i="4"/>
  <c r="L95" i="9"/>
  <c r="E95" i="9"/>
  <c r="D95" i="9"/>
  <c r="I95" i="9"/>
  <c r="C95" i="9"/>
  <c r="C69" i="9"/>
  <c r="I3" i="4"/>
  <c r="I11" i="4"/>
  <c r="C96" i="9"/>
  <c r="M59" i="9"/>
  <c r="I35" i="4"/>
  <c r="F74" i="9"/>
  <c r="D68" i="9"/>
  <c r="F79" i="9"/>
  <c r="F87" i="9"/>
  <c r="I23" i="4"/>
  <c r="D76" i="9"/>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J76" i="9"/>
  <c r="R46" i="9"/>
  <c r="L47" i="9"/>
  <c r="C45" i="9" s="1"/>
  <c r="N46" i="9"/>
  <c r="T46" i="9"/>
  <c r="L13" i="9"/>
  <c r="P46" i="9"/>
  <c r="J95" i="9" l="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J72" i="9" l="1"/>
  <c r="G92" i="9"/>
  <c r="I92" i="9" s="1"/>
  <c r="G78" i="9"/>
  <c r="I78" i="9" s="1"/>
  <c r="G72" i="9"/>
  <c r="I7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00000000-0006-0000-0400-00000700000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<sst xmlns="http://schemas.openxmlformats.org/spreadsheetml/2006/main" count="4042" uniqueCount="1856">
  <si>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</si>
  <si>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</si>
  <si>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</si>
  <si>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</si>
  <si>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</si>
  <si>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</si>
  <si>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</si>
  <si>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</si>
  <si>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</si>
  <si>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</si>
  <si>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</si>
  <si>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</si>
  <si>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</si>
  <si>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</si>
  <si>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</si>
  <si>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</si>
  <si>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</si>
  <si>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</si>
  <si>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</si>
  <si>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</si>
  <si>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</si>
  <si>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</si>
  <si>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</si>
  <si>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</si>
  <si>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</si>
  <si>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</si>
  <si>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</si>
  <si>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</si>
  <si>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</si>
  <si>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</si>
  <si>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</si>
  <si>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</si>
  <si>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</si>
  <si>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</si>
  <si>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</si>
  <si>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</si>
  <si>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</si>
  <si>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</si>
  <si>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</si>
  <si>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</si>
  <si>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</si>
  <si>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</si>
  <si>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</si>
  <si>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</si>
  <si>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</si>
  <si>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</si>
  <si>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</si>
  <si>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</si>
  <si>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</si>
  <si>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</si>
  <si>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</si>
  <si>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</si>
  <si>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</si>
  <si>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</si>
  <si>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</si>
  <si>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</si>
  <si>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</si>
  <si>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</si>
  <si>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</si>
  <si>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</si>
  <si>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</si>
  <si>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</si>
  <si>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</si>
  <si>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</si>
  <si>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</si>
  <si>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</si>
  <si>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</si>
  <si>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</si>
  <si>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</si>
  <si>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</si>
  <si>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</si>
  <si>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</si>
  <si>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</si>
  <si>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</si>
  <si>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</si>
  <si>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</si>
  <si>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</si>
  <si>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</si>
  <si>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</si>
  <si>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</si>
  <si>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</si>
  <si>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</si>
  <si>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</si>
  <si>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</si>
  <si>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</si>
  <si>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</si>
  <si>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</si>
  <si>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</si>
  <si>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</si>
  <si>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</si>
  <si>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</si>
  <si>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</si>
  <si>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</si>
  <si>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</si>
  <si>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</si>
  <si>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</si>
  <si>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</si>
  <si>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</si>
  <si>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</si>
  <si>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</si>
  <si>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</si>
  <si>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</si>
  <si>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</si>
  <si>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</si>
  <si>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</si>
  <si>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</si>
  <si>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</si>
  <si>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</si>
  <si>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</si>
  <si>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</si>
  <si>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</si>
  <si>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</si>
  <si>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</si>
  <si>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</si>
  <si>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</si>
  <si>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</si>
  <si>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</si>
  <si>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</si>
  <si>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</si>
  <si>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</si>
  <si>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</si>
  <si>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</si>
  <si>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</si>
  <si>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</si>
  <si>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</si>
  <si>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</si>
  <si>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</si>
  <si>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</si>
  <si>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</si>
  <si>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</si>
  <si>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</si>
  <si>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</si>
  <si>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</si>
  <si>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</si>
  <si>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</si>
  <si>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</si>
  <si>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</si>
  <si>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</si>
  <si>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</si>
  <si>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</si>
  <si>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</si>
  <si>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</si>
  <si>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</si>
  <si>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</si>
  <si>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</si>
  <si>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</si>
  <si>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</si>
  <si>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</si>
  <si>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</si>
  <si>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</si>
  <si>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</si>
  <si>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</si>
  <si>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</si>
  <si>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</si>
  <si>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</si>
  <si>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</si>
  <si>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</si>
  <si>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</si>
  <si>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</si>
  <si>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</si>
  <si>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</si>
  <si>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</si>
  <si>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</si>
  <si>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</si>
  <si>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</si>
  <si>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</si>
  <si>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</si>
  <si>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</si>
  <si>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</si>
  <si>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</si>
  <si>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</si>
  <si>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</si>
  <si>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</si>
  <si>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</si>
  <si>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</si>
  <si>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</si>
  <si>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</si>
  <si>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</si>
  <si>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</si>
  <si>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</si>
  <si>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</si>
  <si>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</si>
  <si>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</si>
  <si>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</si>
  <si>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</si>
  <si>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</si>
  <si>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</si>
  <si>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</si>
  <si>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</si>
  <si>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</si>
  <si>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</si>
  <si>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</si>
  <si>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</si>
  <si>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</si>
  <si>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</si>
  <si>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</si>
  <si>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</si>
  <si>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</si>
  <si>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</si>
  <si>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</si>
  <si>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</si>
  <si>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</si>
  <si>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</si>
  <si>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</si>
  <si>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</si>
  <si>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</si>
  <si>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</si>
  <si>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</si>
  <si>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</si>
  <si>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</si>
  <si>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</si>
  <si>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</si>
  <si>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</si>
  <si>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</si>
  <si>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</si>
  <si>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</si>
  <si>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</si>
  <si>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</si>
  <si>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</si>
  <si>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</si>
  <si>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</si>
  <si>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</si>
  <si>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</si>
  <si>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</si>
  <si>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</si>
  <si>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</si>
  <si>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</si>
  <si>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</si>
  <si>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</si>
  <si>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</si>
  <si>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</si>
  <si>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</si>
  <si>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</si>
  <si>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</si>
  <si>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</si>
  <si>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</si>
  <si>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</si>
  <si>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</si>
  <si>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</si>
  <si>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</si>
  <si>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</si>
  <si>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</si>
  <si>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</si>
  <si>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</si>
  <si>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</si>
  <si>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</si>
  <si>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</si>
  <si>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</si>
  <si>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</si>
  <si>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</si>
  <si>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</si>
  <si>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</si>
  <si>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</si>
  <si>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</si>
  <si>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</si>
  <si>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</si>
  <si>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</si>
  <si>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</si>
  <si>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</si>
  <si>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</si>
  <si>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</si>
  <si>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</si>
  <si>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</si>
  <si>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</si>
  <si>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</si>
  <si>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</si>
  <si>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</si>
  <si>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</si>
  <si>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</si>
  <si>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</si>
  <si>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</si>
  <si>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</si>
  <si>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</si>
  <si>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</si>
  <si>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</si>
  <si>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</si>
  <si>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</si>
  <si>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</si>
  <si>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</si>
  <si>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</si>
  <si>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</si>
  <si>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</si>
  <si>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</si>
  <si>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</si>
  <si>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</si>
  <si>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</si>
  <si>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</si>
  <si>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</si>
  <si>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</si>
  <si>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</si>
  <si>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</si>
  <si>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</si>
  <si>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</si>
  <si>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</si>
  <si>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</si>
  <si>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</si>
  <si>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</si>
  <si>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</si>
  <si>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</si>
  <si>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</si>
  <si>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</si>
  <si>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</si>
  <si>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</si>
  <si>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</si>
  <si>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</si>
  <si>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</si>
  <si>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</si>
  <si>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</si>
  <si>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</si>
  <si>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</si>
  <si>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</si>
  <si>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</si>
  <si>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</si>
  <si>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</si>
  <si>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</si>
  <si>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</si>
  <si>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</si>
  <si>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</si>
  <si>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</si>
  <si>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</si>
  <si>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</si>
  <si>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</si>
  <si>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</si>
  <si>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</si>
  <si>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</si>
  <si>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</si>
  <si>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</si>
  <si>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</si>
  <si>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</si>
  <si>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</si>
  <si>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</si>
  <si>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</si>
  <si>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</si>
  <si>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</si>
  <si>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</si>
  <si>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</si>
  <si>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</si>
  <si>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</si>
  <si>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</si>
  <si>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</si>
  <si>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</si>
  <si>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</si>
  <si>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</si>
  <si>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</si>
  <si>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</si>
  <si>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</si>
  <si>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</si>
  <si>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</si>
  <si>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</si>
  <si>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</si>
  <si>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</si>
  <si>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</si>
  <si>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</si>
  <si>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</si>
  <si>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</si>
  <si>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</si>
  <si>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</si>
  <si>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</si>
  <si>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</si>
  <si>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</si>
  <si>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</si>
  <si>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</si>
  <si>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</si>
  <si>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</si>
  <si>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</si>
  <si>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</si>
  <si>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</si>
  <si>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</si>
  <si>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</si>
  <si>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</si>
  <si>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</si>
  <si>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</si>
  <si>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</si>
  <si>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</si>
  <si>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</si>
  <si>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</si>
  <si>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</si>
  <si>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</si>
  <si>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</si>
  <si>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</si>
  <si>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</si>
  <si>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</si>
  <si>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</si>
  <si>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</si>
  <si>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</si>
  <si>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</si>
  <si>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</si>
  <si>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</si>
  <si>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</si>
  <si>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</si>
  <si>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</si>
  <si>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</si>
  <si>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</si>
  <si>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</si>
  <si>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</si>
  <si>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</si>
  <si>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</si>
  <si>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</si>
  <si>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</si>
  <si>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</si>
  <si>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</si>
  <si>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</si>
  <si>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</si>
  <si>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</si>
  <si>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</si>
  <si>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</si>
  <si>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</si>
  <si>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</si>
  <si>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</si>
  <si>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</si>
  <si>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</si>
  <si>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</si>
  <si>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</si>
  <si>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</si>
  <si>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</si>
  <si>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</si>
  <si>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</si>
  <si>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</si>
  <si>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</si>
  <si>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</si>
  <si>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</si>
  <si>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</si>
  <si>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</si>
  <si>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</si>
  <si>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</si>
  <si>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</si>
  <si>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</si>
  <si>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</si>
  <si>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</si>
  <si>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</si>
  <si>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</si>
  <si>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</si>
  <si>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</si>
  <si>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</si>
  <si>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</si>
  <si>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</si>
  <si>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</si>
  <si>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</si>
  <si>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</si>
  <si>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</si>
  <si>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</si>
  <si>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</si>
  <si>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</si>
  <si>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</si>
  <si>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</si>
  <si>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</si>
  <si>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</si>
  <si>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</si>
  <si>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</si>
  <si>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</si>
  <si>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</si>
  <si>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</si>
  <si>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</si>
  <si>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</si>
  <si>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</si>
  <si>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</si>
  <si>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</si>
  <si>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</si>
  <si>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</si>
  <si>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</si>
  <si>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</si>
  <si>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</si>
  <si>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</si>
  <si>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</si>
  <si>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</si>
  <si>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</si>
  <si>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</si>
  <si>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</si>
  <si>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</si>
  <si>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</si>
  <si>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</si>
  <si>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</si>
  <si>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</si>
  <si>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</si>
  <si>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</si>
  <si>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</si>
  <si>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</si>
  <si>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</si>
  <si>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</si>
  <si>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</si>
  <si>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</si>
  <si>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</si>
  <si>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</si>
  <si>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</si>
  <si>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</si>
  <si>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</si>
  <si>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</si>
  <si>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</si>
  <si>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</si>
  <si>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</si>
  <si>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</si>
  <si>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</si>
  <si>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</si>
  <si>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</si>
  <si>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</si>
  <si>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</si>
  <si>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</si>
  <si>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</si>
  <si>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</si>
  <si>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</si>
  <si>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</si>
  <si>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</si>
  <si>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</si>
  <si>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</si>
  <si>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</si>
  <si>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</si>
  <si>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</si>
  <si>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</si>
  <si>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</si>
  <si>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</si>
  <si>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</si>
  <si>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</si>
  <si>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</si>
  <si>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</si>
  <si>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</si>
  <si>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</si>
  <si>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</si>
  <si>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</si>
  <si>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</si>
  <si>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</si>
  <si>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</si>
  <si>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</si>
  <si>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</si>
  <si>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</si>
  <si>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</si>
  <si>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</si>
  <si>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</si>
  <si>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</si>
  <si>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</si>
  <si>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</si>
  <si>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</si>
  <si>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</si>
  <si>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</si>
  <si>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</si>
  <si>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</si>
  <si>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</si>
  <si>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</si>
  <si>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</si>
  <si>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</si>
  <si>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</si>
  <si>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</si>
  <si>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</si>
  <si>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</si>
  <si>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</si>
  <si>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</si>
  <si>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</si>
  <si>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</si>
  <si>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</si>
  <si>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</si>
  <si>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</si>
  <si>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</si>
  <si>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</si>
  <si>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</si>
  <si>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</si>
  <si>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</si>
  <si>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</si>
  <si>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</si>
  <si>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</si>
  <si>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</si>
  <si>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</si>
  <si>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</si>
  <si>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</si>
  <si>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</si>
  <si>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</si>
  <si>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</si>
  <si>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</si>
  <si>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</si>
  <si>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</si>
  <si>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</si>
  <si>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</si>
  <si>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</si>
  <si>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</si>
  <si>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</si>
  <si>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</si>
  <si>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</si>
  <si>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</si>
  <si>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</si>
  <si>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</si>
  <si>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</si>
  <si>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</si>
  <si>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</si>
  <si>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</si>
  <si>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</si>
  <si>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</si>
  <si>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</si>
  <si>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</si>
  <si>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</si>
  <si>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</si>
  <si>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</si>
  <si>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</si>
  <si>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</si>
  <si>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</si>
  <si>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</si>
  <si>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</si>
  <si>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</si>
  <si>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</si>
  <si>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</si>
  <si>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</si>
  <si>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</si>
  <si>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</si>
  <si>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</si>
  <si>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</si>
  <si>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</si>
  <si>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</si>
  <si>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</si>
  <si>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</si>
  <si>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</si>
  <si>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</si>
  <si>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</si>
  <si>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</si>
  <si>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</si>
  <si>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</si>
  <si>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</si>
  <si>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</si>
  <si>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</si>
  <si>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</si>
  <si>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</si>
  <si>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</si>
  <si>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</si>
  <si>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</si>
  <si>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</si>
  <si>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</si>
  <si>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</si>
  <si>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</si>
  <si>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</si>
  <si>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</si>
  <si>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</si>
  <si>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</si>
  <si>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</si>
  <si>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</si>
  <si>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</si>
  <si>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</si>
  <si>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</si>
  <si>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</si>
  <si>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</si>
  <si>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</si>
  <si>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</si>
  <si>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</si>
  <si>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</si>
  <si>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</si>
  <si>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</si>
  <si>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</si>
  <si>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</si>
  <si>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</si>
  <si>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</si>
  <si>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</si>
  <si>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</si>
  <si>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</si>
  <si>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</si>
  <si>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</si>
  <si>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</si>
  <si>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</si>
  <si>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</si>
  <si>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</si>
  <si>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</si>
  <si>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</si>
  <si>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</si>
  <si>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</si>
  <si>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</si>
  <si>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</si>
  <si>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</si>
  <si>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</si>
  <si>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</si>
  <si>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</si>
  <si>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</si>
  <si>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</si>
  <si>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</si>
  <si>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</si>
  <si>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</si>
  <si>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</si>
  <si>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</si>
  <si>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</si>
  <si>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</si>
  <si>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</si>
  <si>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</si>
  <si>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</si>
  <si>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</si>
  <si>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</si>
  <si>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</si>
  <si>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</si>
  <si>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</si>
  <si>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</si>
  <si>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</si>
  <si>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</si>
  <si>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</si>
  <si>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</si>
  <si>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</si>
  <si>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</si>
  <si>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</si>
  <si>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</si>
  <si>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</si>
  <si>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</si>
  <si>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</si>
  <si>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</si>
  <si>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</si>
  <si>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</si>
  <si>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</si>
  <si>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</si>
  <si>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</si>
  <si>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</si>
  <si>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</si>
  <si>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</si>
  <si>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</si>
  <si>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</si>
  <si>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</si>
  <si>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</si>
  <si>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</si>
  <si>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</si>
  <si>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</si>
  <si>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</si>
  <si>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</si>
  <si>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</si>
  <si>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</si>
  <si>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</si>
  <si>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</si>
  <si>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</si>
  <si>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</si>
  <si>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</si>
  <si>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</si>
  <si>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</si>
  <si>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</si>
  <si>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</si>
  <si>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</si>
  <si>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</si>
  <si>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</si>
  <si>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</si>
  <si>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</si>
  <si>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</si>
  <si>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</si>
  <si>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</si>
  <si>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</si>
  <si>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</si>
  <si>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</si>
  <si>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</si>
  <si>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</si>
  <si>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</si>
  <si>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</si>
  <si>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</si>
  <si>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</si>
  <si>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</si>
  <si>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</si>
  <si>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</si>
  <si>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</si>
  <si>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</si>
  <si>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</si>
  <si>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</si>
  <si>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</si>
  <si>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</si>
  <si>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</si>
  <si>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</si>
  <si>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</si>
  <si>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</si>
  <si>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</si>
  <si>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</si>
  <si>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</si>
  <si>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</si>
  <si>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</si>
  <si>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</si>
  <si>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</si>
  <si>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</si>
  <si>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</si>
  <si>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</si>
  <si>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</si>
  <si>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</si>
  <si>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</si>
  <si>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</si>
  <si>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</si>
  <si>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</si>
  <si>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</si>
  <si>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</si>
  <si>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</si>
  <si>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</si>
  <si>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</si>
  <si>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</si>
  <si>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</si>
  <si>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</si>
  <si>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</si>
  <si>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</si>
  <si>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</si>
  <si>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</si>
  <si>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</si>
  <si>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</si>
  <si>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</si>
  <si>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</si>
  <si>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</si>
  <si>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</si>
  <si>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</si>
  <si>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</si>
  <si>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</si>
  <si>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</si>
  <si>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</si>
  <si>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</si>
  <si>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</si>
  <si>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</si>
  <si>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</si>
  <si>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</si>
  <si>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</si>
  <si>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</si>
  <si>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</si>
  <si>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</si>
  <si>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</si>
  <si>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</si>
  <si>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</si>
  <si>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</si>
  <si>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</si>
  <si>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</si>
  <si>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</si>
  <si>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</si>
  <si>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</si>
  <si>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</si>
  <si>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</si>
  <si>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</si>
  <si>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</si>
  <si>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</si>
  <si>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</si>
  <si>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</si>
  <si>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</si>
  <si>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</si>
  <si>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</si>
  <si>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</si>
  <si>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</si>
  <si>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</si>
  <si>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</si>
  <si>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</si>
  <si>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</si>
  <si>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</si>
  <si>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</si>
  <si>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</si>
  <si>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</si>
  <si>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</si>
  <si>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</si>
  <si>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</si>
  <si>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</si>
  <si>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</si>
  <si>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</si>
  <si>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</si>
  <si>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</si>
  <si>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</si>
  <si>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</si>
  <si>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</si>
  <si>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</si>
  <si>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</si>
  <si>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</si>
  <si>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</si>
  <si>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</si>
  <si>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</si>
  <si>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</si>
  <si>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</si>
  <si>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</si>
  <si>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</si>
  <si>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</si>
  <si>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</si>
  <si>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</si>
  <si>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</si>
  <si>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</si>
  <si>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</si>
  <si>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</si>
  <si>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</si>
  <si>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</si>
  <si>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</si>
  <si>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</si>
  <si>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</si>
  <si>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</si>
  <si>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</si>
  <si>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</si>
  <si>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</si>
  <si>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</si>
  <si>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</si>
  <si>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</si>
  <si>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</si>
  <si>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</si>
  <si>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</si>
  <si>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</si>
  <si>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</si>
  <si>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</si>
  <si>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</si>
  <si>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</si>
  <si>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</si>
  <si>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</si>
  <si>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</si>
  <si>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</si>
  <si>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</si>
  <si>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</si>
  <si>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</si>
  <si>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</si>
  <si>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</si>
  <si>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</si>
  <si>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</si>
  <si>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</si>
  <si>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</si>
  <si>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</si>
  <si>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</si>
  <si>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</si>
  <si>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</si>
  <si>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</si>
  <si>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</si>
  <si>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</si>
  <si>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</si>
  <si>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</si>
  <si>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</si>
  <si>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</si>
  <si>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</si>
  <si>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</si>
  <si>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</si>
  <si>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</si>
  <si>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</si>
  <si>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</si>
  <si>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</si>
  <si>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</si>
  <si>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</si>
  <si>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</si>
  <si>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</si>
  <si>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</si>
  <si>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</si>
  <si>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</si>
  <si>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</si>
  <si>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</si>
  <si>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</si>
  <si>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</si>
  <si>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</si>
  <si>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</si>
  <si>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</si>
  <si>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</si>
  <si>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</si>
  <si>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</si>
  <si>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</si>
  <si>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</si>
  <si>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</si>
  <si>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</si>
  <si>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</si>
  <si>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</si>
  <si>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</si>
  <si>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</si>
  <si>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</si>
  <si>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</si>
  <si>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</si>
  <si>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</si>
  <si>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</si>
  <si>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</si>
  <si>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</si>
  <si>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</si>
  <si>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</si>
  <si>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</si>
  <si>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</si>
  <si>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</si>
  <si>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</si>
  <si>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</si>
  <si>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</si>
  <si>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</si>
  <si>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</si>
  <si>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</si>
  <si>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</si>
  <si>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</si>
  <si>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</si>
  <si>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</si>
  <si>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</si>
  <si>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</si>
  <si>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</si>
  <si>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</si>
  <si>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</si>
  <si>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</si>
  <si>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</si>
  <si>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</si>
  <si>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</si>
  <si>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</si>
  <si>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</si>
  <si>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</si>
  <si>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</si>
  <si>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</si>
  <si>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</si>
  <si>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</si>
  <si>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</si>
  <si>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</si>
  <si>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</si>
  <si>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</si>
  <si>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</si>
  <si>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</si>
  <si>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</si>
  <si>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</si>
  <si>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</si>
  <si>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</si>
  <si>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</si>
  <si>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</si>
  <si>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</si>
  <si>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</si>
  <si>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</si>
  <si>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</si>
  <si>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</si>
  <si>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</si>
  <si>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</si>
  <si>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</si>
  <si>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</si>
  <si>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</si>
  <si>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</si>
  <si>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</si>
  <si>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</si>
  <si>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</si>
  <si>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</si>
  <si>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</si>
  <si>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</si>
  <si>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</si>
  <si>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</si>
  <si>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</si>
  <si>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</si>
  <si>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</si>
  <si>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</si>
  <si>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</si>
  <si>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</si>
  <si>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</si>
  <si>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</si>
  <si>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</si>
  <si>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</si>
  <si>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</si>
  <si>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</si>
  <si>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</si>
  <si>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</si>
  <si>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</si>
  <si>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</si>
  <si>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</si>
  <si>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</si>
  <si>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</si>
  <si>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</si>
  <si>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</si>
  <si>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</si>
  <si>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</si>
  <si>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</si>
  <si>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</si>
  <si>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</si>
  <si>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</si>
  <si>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</si>
  <si>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</si>
  <si>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</si>
  <si>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</si>
  <si>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</si>
  <si>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</si>
  <si>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</si>
  <si>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</si>
  <si>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</si>
  <si>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</si>
  <si>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</si>
  <si>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</si>
  <si>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</si>
  <si>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</si>
  <si>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</si>
  <si>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</si>
  <si>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</si>
  <si>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</si>
  <si>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</si>
  <si>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</si>
  <si>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</si>
  <si>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</si>
  <si>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</si>
  <si>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</si>
  <si>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</si>
  <si>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</si>
  <si>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</si>
  <si>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</si>
  <si>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</si>
  <si>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</si>
  <si>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</si>
  <si>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</si>
  <si>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</si>
  <si>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</si>
  <si>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</si>
  <si>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</si>
  <si>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</si>
  <si>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</si>
  <si>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</si>
  <si>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</si>
  <si>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</si>
  <si>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</si>
  <si>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</si>
  <si>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</si>
  <si>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</si>
  <si>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</si>
  <si>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</si>
  <si>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</si>
  <si>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</si>
  <si>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</si>
  <si>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</si>
  <si>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</si>
  <si>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</si>
  <si>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</si>
  <si>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</si>
  <si>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</si>
  <si>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</si>
  <si>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</si>
  <si>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</si>
  <si>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</si>
  <si>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</si>
  <si>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</si>
  <si>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</si>
  <si>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</si>
  <si>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</si>
  <si>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</si>
  <si>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</si>
  <si>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</si>
  <si>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</si>
  <si>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</si>
  <si>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</si>
  <si>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</si>
  <si>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</si>
  <si>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</si>
  <si>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</si>
  <si>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</si>
  <si>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</si>
  <si>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</si>
  <si>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</si>
  <si>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</si>
  <si>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</si>
  <si>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</si>
  <si>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</si>
  <si>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</si>
  <si>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</si>
  <si>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</si>
  <si>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</si>
  <si>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</si>
  <si>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</si>
  <si>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</si>
  <si>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</si>
  <si>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</si>
  <si>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</si>
  <si>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</si>
  <si>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</si>
  <si>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</si>
  <si>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</si>
  <si>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</si>
  <si>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</si>
  <si>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</si>
  <si>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</si>
  <si>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</si>
  <si>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</si>
  <si>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</si>
  <si>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</si>
  <si>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</si>
  <si>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</si>
  <si>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</si>
  <si>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</si>
  <si>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</si>
  <si>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</si>
  <si>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</si>
  <si>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</si>
  <si>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</si>
  <si>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</si>
  <si>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</si>
  <si>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</si>
  <si>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</si>
  <si>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</si>
  <si>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</si>
  <si>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</si>
  <si>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</si>
  <si>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</si>
  <si>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</si>
  <si>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</si>
  <si>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</si>
  <si>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</si>
  <si>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</si>
  <si>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</si>
  <si>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</si>
  <si>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</si>
  <si>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</si>
  <si>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</si>
  <si>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</si>
  <si>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</si>
  <si>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</si>
  <si>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</si>
  <si>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</si>
  <si>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</si>
  <si>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</si>
  <si>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</si>
  <si>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</si>
  <si>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</si>
  <si>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</si>
  <si>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</si>
  <si>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</si>
  <si>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</si>
  <si>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</si>
  <si>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</si>
  <si>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</si>
  <si>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</si>
  <si>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</si>
  <si>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</si>
  <si>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</si>
  <si>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</si>
  <si>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</si>
  <si>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</si>
  <si>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</si>
  <si>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</si>
  <si>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</si>
  <si>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</si>
  <si>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</si>
  <si>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</si>
  <si>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</si>
  <si>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</si>
  <si>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</si>
  <si>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</si>
  <si>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</si>
  <si>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</si>
  <si>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</si>
  <si>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</si>
  <si>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</si>
  <si>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</si>
  <si>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</si>
  <si>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</si>
  <si>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</si>
  <si>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</si>
  <si>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</si>
  <si>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</si>
  <si>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</si>
  <si>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</si>
  <si>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</si>
  <si>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</si>
  <si>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</si>
  <si>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</si>
  <si>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</si>
  <si>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</si>
  <si>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</si>
  <si>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</si>
  <si>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</si>
  <si>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</si>
  <si>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</si>
  <si>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</si>
  <si>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</si>
  <si>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</si>
  <si>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</si>
  <si>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</si>
  <si>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</si>
  <si>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</si>
  <si>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</si>
  <si>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</si>
  <si>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</si>
  <si>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</si>
  <si>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</si>
  <si>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</si>
  <si>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</si>
  <si>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</si>
  <si>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</si>
  <si>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</si>
  <si>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</si>
  <si>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</si>
  <si>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</si>
  <si>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</si>
  <si>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</si>
  <si>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</si>
  <si>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</si>
  <si>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</si>
  <si>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</si>
  <si>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</si>
  <si>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</si>
  <si>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</si>
  <si>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</si>
  <si>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</si>
  <si>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</si>
  <si>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</si>
  <si>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</si>
  <si>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</si>
  <si>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</si>
  <si>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</si>
  <si>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</si>
  <si>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</si>
  <si>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</si>
  <si>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</si>
  <si>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</si>
  <si>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</si>
  <si>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</si>
  <si>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</si>
  <si>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</si>
  <si>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</si>
  <si>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</si>
  <si>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</si>
  <si>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</si>
  <si>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</si>
  <si>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</si>
  <si>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</si>
  <si>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</si>
  <si>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</si>
  <si>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</si>
  <si>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</si>
  <si>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</si>
  <si>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</si>
  <si>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</si>
  <si>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</si>
  <si>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</si>
  <si>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</si>
  <si>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</si>
  <si>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</si>
  <si>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</si>
  <si>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</si>
  <si>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</si>
  <si>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</si>
  <si>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</si>
  <si>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</si>
  <si>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</si>
  <si>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</si>
  <si>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</si>
  <si>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</si>
  <si>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</si>
  <si>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</si>
  <si>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</si>
  <si>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</si>
  <si>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</si>
  <si>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</si>
  <si>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</si>
  <si>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</si>
  <si>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</si>
  <si>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</si>
  <si>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</si>
  <si>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</si>
  <si>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</si>
  <si>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</si>
  <si>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</si>
  <si>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</si>
  <si>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</si>
  <si>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</si>
  <si>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</si>
  <si>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</si>
  <si>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</si>
  <si>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</si>
  <si>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</si>
  <si>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</si>
  <si>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</si>
  <si>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</si>
  <si>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</si>
  <si>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</si>
  <si>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</si>
  <si>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</si>
  <si>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</si>
  <si>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</si>
  <si>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</si>
  <si>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</si>
  <si>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</si>
  <si>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</si>
  <si>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</si>
  <si>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</si>
  <si>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</si>
  <si>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</si>
  <si>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</si>
  <si>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</si>
  <si>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</si>
  <si>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</si>
  <si>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</si>
  <si>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</si>
  <si>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</si>
  <si>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</si>
  <si>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</si>
  <si>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</si>
  <si>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</si>
  <si>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</si>
  <si>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</si>
  <si>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</si>
  <si>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</si>
  <si>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</si>
  <si>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</si>
  <si>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</si>
  <si>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</si>
  <si>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</si>
  <si>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</si>
  <si>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</si>
  <si>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</si>
  <si>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</si>
  <si>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</si>
  <si>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</si>
  <si>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</si>
  <si>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</si>
  <si>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</si>
  <si>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</si>
  <si>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</si>
  <si>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</si>
  <si>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</si>
  <si>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</si>
  <si>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</si>
  <si>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</si>
  <si>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</si>
  <si>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</si>
  <si>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</si>
  <si>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</si>
  <si>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</si>
  <si>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</si>
  <si>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</si>
  <si>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</si>
  <si>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</si>
  <si>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</si>
  <si>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</si>
  <si>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</si>
  <si>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</si>
  <si>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</si>
  <si>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</si>
  <si>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</si>
  <si>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</si>
  <si>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</si>
  <si>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</si>
  <si>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</si>
  <si>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</si>
  <si>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</si>
  <si>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</si>
  <si>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</si>
  <si>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</si>
  <si>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</si>
  <si>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</si>
  <si>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</si>
  <si>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</si>
  <si>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</si>
  <si>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</si>
  <si>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</si>
  <si>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</si>
  <si>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</si>
  <si>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</si>
  <si>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</si>
  <si>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</si>
  <si>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</si>
  <si>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</si>
  <si>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</si>
  <si>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</si>
  <si>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</si>
  <si>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</si>
  <si>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</si>
  <si>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</si>
  <si>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</si>
  <si>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</si>
  <si>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</si>
  <si>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</si>
  <si>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</si>
  <si>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</si>
  <si>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</si>
  <si>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</si>
  <si>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</si>
  <si>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</si>
  <si>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</si>
  <si>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</si>
  <si>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</si>
  <si>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</si>
  <si>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</si>
  <si>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</si>
  <si>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</si>
  <si>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</si>
  <si>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</si>
  <si>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</si>
  <si>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</si>
  <si>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</si>
  <si>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</si>
  <si>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</si>
  <si>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</si>
  <si>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</si>
  <si>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</si>
  <si>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</si>
  <si>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</si>
  <si>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</si>
  <si>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</si>
  <si>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</si>
  <si>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</si>
  <si>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</si>
  <si>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</si>
  <si>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</si>
  <si>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</si>
  <si>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</si>
  <si>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</si>
  <si>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</si>
  <si>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</si>
  <si>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</si>
  <si>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</si>
  <si>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</si>
  <si>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</si>
  <si>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</si>
  <si>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</si>
  <si>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</si>
  <si>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</si>
  <si>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</si>
  <si>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</si>
  <si>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</si>
  <si>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</si>
  <si>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</si>
  <si>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</si>
  <si>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</si>
  <si>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</si>
  <si>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</si>
  <si>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</si>
  <si>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</si>
  <si>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</si>
  <si>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</si>
  <si>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</si>
  <si>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</si>
  <si>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</si>
  <si>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</si>
  <si>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</si>
  <si>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</si>
  <si>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</si>
  <si>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</si>
  <si>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</si>
  <si>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</si>
  <si>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</si>
  <si>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</si>
  <si>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</si>
  <si>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</si>
  <si>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</si>
  <si>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</si>
  <si>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</si>
  <si>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</si>
  <si>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</si>
  <si>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</si>
  <si>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</si>
  <si>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</si>
  <si>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</si>
  <si>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</si>
  <si>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</si>
  <si>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</si>
  <si>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</si>
  <si>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</si>
  <si>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</si>
  <si>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</si>
  <si>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</si>
  <si>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</si>
  <si>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</si>
  <si>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</si>
  <si>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</si>
  <si>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</si>
  <si>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</si>
  <si>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</si>
  <si>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</si>
  <si>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</si>
  <si>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</si>
  <si>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</si>
  <si>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</si>
  <si>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</si>
  <si>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</si>
  <si>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</si>
  <si>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</si>
  <si>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</si>
  <si>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</si>
  <si>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</si>
  <si>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</si>
  <si>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</si>
  <si>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</si>
  <si>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</si>
  <si>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</si>
  <si>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</si>
  <si>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</si>
  <si>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</si>
  <si>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</si>
  <si>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</si>
  <si>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</si>
  <si>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</si>
  <si>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</si>
  <si>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</si>
  <si>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</si>
  <si>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</si>
  <si>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</si>
  <si>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</si>
  <si>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</si>
  <si>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</si>
  <si>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</si>
  <si>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</si>
  <si>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</si>
  <si>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</si>
  <si>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</si>
  <si>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</si>
  <si>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</si>
  <si>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</si>
  <si>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</si>
  <si>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</si>
  <si>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</si>
  <si>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</si>
  <si>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</si>
  <si>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</si>
  <si>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</si>
  <si>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</si>
  <si>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</si>
  <si>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</si>
  <si>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</si>
  <si>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</si>
  <si>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</si>
  <si>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</si>
  <si>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</si>
  <si>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</si>
  <si>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</si>
  <si>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</si>
  <si>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</si>
  <si>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</si>
  <si>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</si>
  <si>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</si>
  <si>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</si>
  <si>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</si>
  <si>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</si>
  <si>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</si>
  <si>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</si>
  <si>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</si>
  <si>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</si>
  <si>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</si>
  <si>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</si>
  <si>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</si>
  <si>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</si>
  <si>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</si>
  <si>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</si>
  <si>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</si>
  <si>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</si>
  <si>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</si>
  <si>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</si>
  <si>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</si>
  <si>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</si>
  <si>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</si>
  <si>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</si>
  <si>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</si>
  <si>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</si>
  <si>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</si>
  <si>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</si>
  <si>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</si>
  <si>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</si>
  <si>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</si>
  <si>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</si>
  <si>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</si>
  <si>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</si>
  <si>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</si>
  <si>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</si>
  <si>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</si>
  <si>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</si>
  <si>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</si>
  <si>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</si>
  <si>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</si>
  <si>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</si>
  <si>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</si>
  <si>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</si>
  <si>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</si>
  <si>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</si>
  <si>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</si>
  <si>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</si>
  <si>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</si>
  <si>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</si>
  <si>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</si>
  <si>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</si>
  <si>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</si>
  <si>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</si>
  <si>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</si>
  <si>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</si>
  <si>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</si>
  <si>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</si>
  <si>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</si>
  <si>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</si>
  <si>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</si>
  <si>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</si>
  <si>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</si>
  <si>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</si>
  <si>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</si>
  <si>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</si>
  <si>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</si>
  <si>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</si>
  <si>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</si>
  <si>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</si>
  <si>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</si>
  <si>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</si>
  <si>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</si>
  <si>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</si>
  <si>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</si>
  <si>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</si>
  <si>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</si>
  <si>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</si>
  <si>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</si>
  <si>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</si>
  <si>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</si>
  <si>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</si>
  <si>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</si>
  <si>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</si>
  <si>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</si>
  <si>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</si>
  <si>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</si>
  <si>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</si>
  <si>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</si>
  <si>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</si>
  <si>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</si>
  <si>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</si>
  <si>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</si>
  <si>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</si>
  <si>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</si>
  <si>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</si>
  <si>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</si>
  <si>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</si>
  <si>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</si>
  <si>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</si>
  <si>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</si>
  <si>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</si>
  <si>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</si>
  <si>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</si>
  <si>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</si>
  <si>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</si>
  <si>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</si>
  <si>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</si>
  <si>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</si>
  <si>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</si>
  <si>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</si>
  <si>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</si>
  <si>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</si>
  <si>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</si>
  <si>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</si>
  <si>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</si>
  <si>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</si>
  <si>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</si>
  <si>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</si>
  <si>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</si>
  <si>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</si>
  <si>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</si>
  <si>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</si>
  <si>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</si>
  <si>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</si>
  <si>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</si>
  <si>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</si>
  <si>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</si>
  <si>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</si>
  <si>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</si>
  <si>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</si>
  <si>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</si>
  <si>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</si>
  <si>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</si>
  <si>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</si>
  <si>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</si>
  <si>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</si>
  <si>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</si>
  <si>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</si>
  <si>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</si>
  <si>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</si>
  <si>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</si>
  <si>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</si>
  <si>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</si>
  <si>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</si>
  <si>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</si>
  <si>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</si>
  <si>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</si>
  <si>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</si>
  <si>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</si>
  <si>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</si>
  <si>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</si>
  <si>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</si>
  <si>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</si>
  <si>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</si>
  <si>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</si>
  <si>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</si>
  <si>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</si>
  <si>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</si>
  <si>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</si>
  <si>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</si>
  <si>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</si>
  <si>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</si>
  <si>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</si>
  <si>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</si>
  <si>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</si>
  <si>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</si>
  <si>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</si>
  <si>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</si>
  <si>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</si>
  <si>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</si>
  <si>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</si>
  <si>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</si>
  <si>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</si>
  <si>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</si>
  <si>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</si>
  <si>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</si>
  <si>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športy s lietajúcim diskom - bežné transfery</t>
  </si>
  <si>
    <t>25DF00001</t>
  </si>
  <si>
    <t>2072</t>
  </si>
  <si>
    <t>9.1.2025</t>
  </si>
  <si>
    <t>Účastnícke poplatky WFDF 2025</t>
  </si>
  <si>
    <t>World Flying Disc Federation</t>
  </si>
  <si>
    <t>25DF00003</t>
  </si>
  <si>
    <t>4211603</t>
  </si>
  <si>
    <t>4.2.2025</t>
  </si>
  <si>
    <t>Materiál úložný kontajner</t>
  </si>
  <si>
    <t>13131732</t>
  </si>
  <si>
    <t>Titan containers A/S</t>
  </si>
  <si>
    <t>25DF00004</t>
  </si>
  <si>
    <t>2025</t>
  </si>
  <si>
    <t>Členský poplatok EDGF 2025</t>
  </si>
  <si>
    <t>European Disc Golf Federation</t>
  </si>
  <si>
    <t>Int0001</t>
  </si>
  <si>
    <t>6.2.2025</t>
  </si>
  <si>
    <t>Ubytovanie Hlohovec 31.1.-2.2.2025</t>
  </si>
  <si>
    <t>51786150</t>
  </si>
  <si>
    <t>ZŠ a MŠ Koperníkova, Hlohovec</t>
  </si>
  <si>
    <t>25DF00002</t>
  </si>
  <si>
    <t>125030</t>
  </si>
  <si>
    <t>12.2.2025</t>
  </si>
  <si>
    <t>Účastnícke poplatky European ultimate federation EYUC 2025</t>
  </si>
  <si>
    <t>975251107</t>
  </si>
  <si>
    <t>European ultimate federation</t>
  </si>
  <si>
    <t>25DF00005</t>
  </si>
  <si>
    <t>2192</t>
  </si>
  <si>
    <t>13.2.2025</t>
  </si>
  <si>
    <t>Účastnícke poplatky WBUC 2025</t>
  </si>
  <si>
    <t>25DF00006</t>
  </si>
  <si>
    <t>2268</t>
  </si>
  <si>
    <t>18.2.2025</t>
  </si>
  <si>
    <t>Účastnícke poplatky Majstrovstvá Európy v discgolfe (EDGC, Nórsko)</t>
  </si>
  <si>
    <t>971372427</t>
  </si>
  <si>
    <t>Diskgolf EM</t>
  </si>
  <si>
    <t>6.3.2025</t>
  </si>
  <si>
    <t>Cestovné - kontrolórka SAF</t>
  </si>
  <si>
    <t>Katarína Vilhanová</t>
  </si>
  <si>
    <t>11.3.2025</t>
  </si>
  <si>
    <t>Účastnícky poplatok - WFDF 2025</t>
  </si>
  <si>
    <t>18.3.2025</t>
  </si>
  <si>
    <t>Prenájom priestorov - MSR v ultimate frisbee 16.3.2025 SAF</t>
  </si>
  <si>
    <t>53669967</t>
  </si>
  <si>
    <t>BCD 1, s. r. o.</t>
  </si>
  <si>
    <t>24.3.2025</t>
  </si>
  <si>
    <t>Štartovné - CEDGC 2025</t>
  </si>
  <si>
    <t>SI75221381</t>
  </si>
  <si>
    <t>LT-NET Boštjan Lotrič, s.p.</t>
  </si>
  <si>
    <t>Cestovné - Wings of Varazdin - Early Season Tour, Croatia (15. -16. 2.)</t>
  </si>
  <si>
    <t>Marek Novotný</t>
  </si>
  <si>
    <t>31.3.2025</t>
  </si>
  <si>
    <t>Administratívne a konzultačné služby týkajúce sa finančného managementu a
administratívne služby týkajúce sa registračného systému https://ev.szf.sk</t>
  </si>
  <si>
    <t>52909239</t>
  </si>
  <si>
    <t>Peter Topoľský</t>
  </si>
  <si>
    <t>CPK25001</t>
  </si>
  <si>
    <t>CPK25002</t>
  </si>
  <si>
    <t>25DF00009</t>
  </si>
  <si>
    <t>2232</t>
  </si>
  <si>
    <t>25DF00011</t>
  </si>
  <si>
    <t>250100002</t>
  </si>
  <si>
    <t>25DF00012</t>
  </si>
  <si>
    <t>2025006</t>
  </si>
  <si>
    <t>25DF00010</t>
  </si>
  <si>
    <t>3-2024</t>
  </si>
  <si>
    <t>CP25001</t>
  </si>
  <si>
    <t>2.4.2025</t>
  </si>
  <si>
    <t>3.4.2025</t>
  </si>
  <si>
    <t>PRESI s.r.o.</t>
  </si>
  <si>
    <t>44900091</t>
  </si>
  <si>
    <t>Hugo Krička</t>
  </si>
  <si>
    <t>Tomáš Mozola</t>
  </si>
  <si>
    <t>Jozef Čierny</t>
  </si>
  <si>
    <t>9.4.2025</t>
  </si>
  <si>
    <t>Nela Ivančíková</t>
  </si>
  <si>
    <t>Samuel Kšiňan</t>
  </si>
  <si>
    <t>10.4.2025</t>
  </si>
  <si>
    <t>Martin Krička</t>
  </si>
  <si>
    <t>16.4.2025</t>
  </si>
  <si>
    <t>Marta Ondrušová</t>
  </si>
  <si>
    <t>Ondrej Daniel</t>
  </si>
  <si>
    <t>22.4.2025</t>
  </si>
  <si>
    <t>Účastnícke poplatky - F.U.C.K. 2025</t>
  </si>
  <si>
    <t>Frisbeeverein innsiders kundl</t>
  </si>
  <si>
    <t>612969423</t>
  </si>
  <si>
    <t>Štartovné - European ultimate federation EYUC 2025</t>
  </si>
  <si>
    <t>24.4.2025</t>
  </si>
  <si>
    <t>25.4.2025</t>
  </si>
  <si>
    <t>28.4.2025</t>
  </si>
  <si>
    <t>29.3.2025</t>
  </si>
  <si>
    <t>Refundácia občerstvenie 1. juniorsky kemp</t>
  </si>
  <si>
    <t>Monika Takáčová M+M</t>
  </si>
  <si>
    <t>44570121</t>
  </si>
  <si>
    <t>52666409</t>
  </si>
  <si>
    <t>Miroslava Petrášová</t>
  </si>
  <si>
    <t>Reklamné, marketingové, fotografické a informačné služby</t>
  </si>
  <si>
    <t>Richard Melichar</t>
  </si>
  <si>
    <t>Cestovné - juniorské sústredenie Blatné</t>
  </si>
  <si>
    <t>Cestovné - CEDGC 2025 - Lipica, Slovenia (14.-16.3.2025)</t>
  </si>
  <si>
    <t>Materiál - tabuľky + UV tlač</t>
  </si>
  <si>
    <t>Cestovné - Budmerice Spring Fling 2025</t>
  </si>
  <si>
    <t>Cestovné - CDGT Bechovicky Trn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</si>
</sst>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6"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1">
    <cellStyle name="Hyperlink" xfId="1" xr:uid="{00000000-0005-0000-0000-000000000000}"/>
    <cellStyle name="Hypertextové prepojenie 2" xfId="2" xr:uid="{00000000-0005-0000-0000-000001000000}"/>
    <cellStyle name="Normal" xfId="0" builtinId="0"/>
    <cellStyle name="Normal 2" xfId="3" xr:uid="{00000000-0005-0000-0000-000002000000}"/>
    <cellStyle name="Normal 3" xfId="4" xr:uid="{00000000-0005-0000-0000-000003000000}"/>
    <cellStyle name="Normal 3 2" xfId="5" xr:uid="{00000000-0005-0000-0000-000004000000}"/>
    <cellStyle name="Normal 3_2013-01-000-SportoveOdvetvia" xfId="6" xr:uid="{00000000-0005-0000-0000-000005000000}"/>
    <cellStyle name="Normal 4" xfId="7" xr:uid="{00000000-0005-0000-0000-000006000000}"/>
    <cellStyle name="Normal 5" xfId="8" xr:uid="{00000000-0005-0000-0000-000007000000}"/>
    <cellStyle name="Normálna 2" xfId="9" xr:uid="{00000000-0005-0000-0000-000008000000}"/>
    <cellStyle name="Normálna 2 2" xfId="10" xr:uid="{00000000-0005-0000-0000-000009000000}"/>
    <cellStyle name="Normálna 2 3" xfId="11" xr:uid="{00000000-0005-0000-0000-00000A000000}"/>
    <cellStyle name="Normálna 3" xfId="12" xr:uid="{00000000-0005-0000-0000-00000B000000}"/>
    <cellStyle name="Normálna 3 2" xfId="13" xr:uid="{00000000-0005-0000-0000-00000C000000}"/>
    <cellStyle name="Normálna 3 3" xfId="14" xr:uid="{00000000-0005-0000-0000-00000D000000}"/>
    <cellStyle name="Normálna 4" xfId="15" xr:uid="{00000000-0005-0000-0000-00000E000000}"/>
    <cellStyle name="Normálna 4 2" xfId="16" xr:uid="{00000000-0005-0000-0000-00000F000000}"/>
    <cellStyle name="Normálna 5" xfId="17" xr:uid="{00000000-0005-0000-0000-000010000000}"/>
    <cellStyle name="Normálna 5 2" xfId="18" xr:uid="{00000000-0005-0000-0000-000011000000}"/>
    <cellStyle name="Normálna 5 3" xfId="19" xr:uid="{00000000-0005-0000-0000-000012000000}"/>
    <cellStyle name="Normálna 5 4" xfId="20" xr:uid="{00000000-0005-0000-0000-000013000000}"/>
    <cellStyle name="Normálna 6" xfId="21" xr:uid="{00000000-0005-0000-0000-000014000000}"/>
    <cellStyle name="Normálna 7" xfId="22" xr:uid="{00000000-0005-0000-0000-000015000000}"/>
    <cellStyle name="Normálna 7 2" xfId="23" xr:uid="{00000000-0005-0000-0000-000016000000}"/>
    <cellStyle name="Normálna 8" xfId="24" xr:uid="{00000000-0005-0000-0000-000017000000}"/>
    <cellStyle name="normálne 2" xfId="25" xr:uid="{00000000-0005-0000-0000-000019000000}"/>
    <cellStyle name="normálne 2 2" xfId="26" xr:uid="{00000000-0005-0000-0000-00001A000000}"/>
    <cellStyle name="normálne 2 2 2" xfId="27" xr:uid="{00000000-0005-0000-0000-00001B000000}"/>
    <cellStyle name="normálne 2 3" xfId="28" xr:uid="{00000000-0005-0000-0000-00001C000000}"/>
    <cellStyle name="normálne 2 4" xfId="29" xr:uid="{00000000-0005-0000-0000-00001D000000}"/>
    <cellStyle name="Normálne 3" xfId="30" xr:uid="{00000000-0005-0000-0000-00001E000000}"/>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00000000-0002-0000-0100-000000000000}">
      <formula1>41640</formula1>
      <formula2>42004</formula2>
    </dataValidation>
    <dataValidation type="date" allowBlank="1" showInputMessage="1" showErrorMessage="1" sqref="D7" xr:uid="{00000000-0002-0000-0100-000001000000}">
      <formula1>42370</formula1>
      <formula2>42735</formula2>
    </dataValidation>
    <dataValidation type="list" allowBlank="1" showInputMessage="1" sqref="E78:F2885 E8:F23 E24:F76" xr:uid="{00000000-0002-0000-0100-000002000000}">
      <formula1>#REF!</formula1>
    </dataValidation>
    <dataValidation allowBlank="1" sqref="B78:C2885 B8:C23 B24:C76" xr:uid="{00000000-0002-0000-0100-000003000000}"/>
    <dataValidation type="decimal" operator="greaterThan" allowBlank="1" showInputMessage="1" showErrorMessage="1" sqref="H78:H2885 I78 H8:I23 H24:I76" xr:uid="{00000000-0002-0000-0100-000004000000}">
      <formula1>0</formula1>
    </dataValidation>
    <dataValidation type="date" allowBlank="1" showInputMessage="1" showErrorMessage="1" sqref="D78 D8:D23 D24:D76" xr:uid="{00000000-0002-0000-0100-000005000000}">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45688</v>
      </c>
      <c r="D1" s="26"/>
      <c r="G1" s="252">
        <v>45688</v>
      </c>
    </row>
    <row r="2" spans="1:7" ht="13.8" x14ac:dyDescent="0.25">
      <c r="A2" s="28"/>
      <c r="B2" s="28"/>
      <c r="G2" s="252">
        <v>45716</v>
      </c>
    </row>
    <row r="3" spans="1:7" ht="13.8" x14ac:dyDescent="0.25">
      <c r="A3" s="30" t="s">
        <v>348</v>
      </c>
      <c r="B3" s="324" t="str">
        <f>INDEX(Adr!B:B,Doklady!B102+1)</f>
        <v>Slovenská asociácia Frisbee</v>
      </c>
      <c r="C3" s="324"/>
      <c r="D3" s="324"/>
      <c r="G3" s="252">
        <v>45747</v>
      </c>
    </row>
    <row r="4" spans="1:7" ht="13.8" x14ac:dyDescent="0.25">
      <c r="A4" s="30" t="s">
        <v>349</v>
      </c>
      <c r="B4" s="29" t="str">
        <f>RIGHT("0000"&amp;INDEX(Adr!A:A,Doklady!B102+1),8)</f>
        <v>31749852</v>
      </c>
      <c r="G4" s="252">
        <v>45777</v>
      </c>
    </row>
    <row r="5" spans="1:7" ht="13.8" x14ac:dyDescent="0.25">
      <c r="A5" s="30" t="s">
        <v>350</v>
      </c>
      <c r="B5" s="29" t="str">
        <f>INDEX(Adr!D:D,Doklady!B102+1)&amp;", "&amp;INDEX(Adr!E:E,Doklady!B102+1)</f>
        <v>Malženice 511, Malženice</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113483</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113483</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topLeftCell="A12"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5">
      <c r="B3" s="160" t="s">
        <v>95</v>
      </c>
      <c r="C3" s="348" t="str">
        <f>INDEX(Adr!B2:B70,Doklady!B102)</f>
        <v>Slovenská asociácia Frisbee</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31749852</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Malženice 511, Malženice, 919 29</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7.399999999999999" x14ac:dyDescent="0.3">
      <c r="A11" s="69" t="s">
        <v>355</v>
      </c>
      <c r="B11" s="70" t="s">
        <v>356</v>
      </c>
      <c r="C11" s="126">
        <f>SUMIF(FP!J:J,Doklady!$B$1&amp;A11,FP!D:D)</f>
        <v>113483</v>
      </c>
      <c r="D11" s="126">
        <f>+C11-E11</f>
        <v>16057.39</v>
      </c>
      <c r="E11" s="351">
        <f>+I39-I42+I44-I47</f>
        <v>97425.61</v>
      </c>
      <c r="F11" s="352"/>
      <c r="J11" s="176"/>
      <c r="L11" s="161" t="str">
        <f>L41</f>
        <v>a - športy s lietajúcim diskom - bežné transfery</v>
      </c>
      <c r="M11" s="118"/>
      <c r="N11" s="118"/>
      <c r="O11" s="118"/>
      <c r="P11" s="118"/>
      <c r="Q11" s="118"/>
      <c r="R11" s="118"/>
      <c r="S11" s="118"/>
    </row>
    <row r="12" spans="1:26" ht="17.399999999999999" x14ac:dyDescent="0.3">
      <c r="A12" s="69" t="s">
        <v>357</v>
      </c>
      <c r="B12" s="70" t="s">
        <v>358</v>
      </c>
      <c r="C12" s="126">
        <f>SUMIF(FP!J:J,Doklady!$B$1&amp;A12,FP!D:D)</f>
        <v>0</v>
      </c>
      <c r="D12" s="126">
        <f>C12-E12</f>
        <v>0</v>
      </c>
      <c r="E12" s="343">
        <f>SUMIF(K:K,A12,I:I)</f>
        <v>0</v>
      </c>
      <c r="F12" s="344"/>
      <c r="J12" s="177"/>
      <c r="L12" s="161" t="str">
        <f>L42</f>
        <v>a - športy s lietajúcim diskom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113483</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0</v>
      </c>
    </row>
    <row r="20" spans="1:20" x14ac:dyDescent="0.2">
      <c r="A20" s="135" t="s">
        <v>381</v>
      </c>
      <c r="B20" s="332" t="s">
        <v>382</v>
      </c>
      <c r="C20" s="333"/>
      <c r="D20" s="333"/>
      <c r="E20" s="333"/>
      <c r="F20" s="333"/>
      <c r="G20" s="333"/>
      <c r="H20" s="334"/>
      <c r="I20" s="73">
        <f>SUMIF(FP!I:I,Doklady!$B$1&amp;A20,FP!D:D)</f>
        <v>0</v>
      </c>
      <c r="T20" s="86"/>
    </row>
    <row r="21" spans="1:20" x14ac:dyDescent="0.2">
      <c r="A21" s="115" t="s">
        <v>383</v>
      </c>
      <c r="B21" s="332" t="s">
        <v>384</v>
      </c>
      <c r="C21" s="333"/>
      <c r="D21" s="333"/>
      <c r="E21" s="333"/>
      <c r="F21" s="333"/>
      <c r="G21" s="333"/>
      <c r="H21" s="334"/>
      <c r="I21" s="73">
        <f>SUMIF(FP!I:I,Doklady!$B$1&amp;A21,FP!D:D)</f>
        <v>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športy s lietajúcim diskom</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22696.600000000002</v>
      </c>
      <c r="G39" s="78">
        <f>+MAX(I39-C39-D39-E39-F39-H39,0)</f>
        <v>90786.4</v>
      </c>
      <c r="H39" s="78">
        <f>+IFERROR(VLOOKUP(K40&amp;" - kapitálové transfery",B$53:C$90,2,0),0)</f>
        <v>0</v>
      </c>
      <c r="I39" s="73">
        <f>SUMIF(FP!K:K,K40,FP!D:D)</f>
        <v>113483</v>
      </c>
      <c r="L39" s="84">
        <f>COUNTIF(FP!N:N,Doklady!B1&amp;"aK")</f>
        <v>0</v>
      </c>
      <c r="T39" s="86"/>
    </row>
    <row r="40" spans="1:21" x14ac:dyDescent="0.2">
      <c r="A40" s="115" t="s">
        <v>375</v>
      </c>
      <c r="B40" s="116" t="s">
        <v>414</v>
      </c>
      <c r="C40" s="78">
        <f>DSUM(Doklady!A103:J10000,"GGG",Spolu!L40:M42)</f>
        <v>0</v>
      </c>
      <c r="D40" s="78">
        <f>DSUM(Doklady!A103:J10000,"GGG",Spolu!N40:O42)</f>
        <v>7735.5999999999995</v>
      </c>
      <c r="E40" s="78">
        <f>DSUM(Doklady!A103:J10000,"GGG",Spolu!P40:Q42)</f>
        <v>5481.9400000000005</v>
      </c>
      <c r="F40" s="78">
        <f>DSUM(Doklady!A103:J10000,"GGG",Spolu!R40:S42)</f>
        <v>2839.8500000000004</v>
      </c>
      <c r="G40" s="78">
        <f>DSUM(Doklady!A103:J10000,"GGG",Spolu!T40:U42)-H40</f>
        <v>0</v>
      </c>
      <c r="H40" s="78">
        <f>+IFERROR(VLOOKUP(K40&amp;" - kapitálové transfery",B$53:D$90,3,0),0)</f>
        <v>0</v>
      </c>
      <c r="I40" s="73">
        <f>+C40+D40+E40+F40+G40+H40</f>
        <v>16057.390000000001</v>
      </c>
      <c r="J40" s="218" t="str">
        <f>+K45</f>
        <v>.</v>
      </c>
      <c r="K40" s="218" t="str">
        <f>IF(L38&gt;0,INDEX(FP!K:K,Doklady!B2),".")</f>
        <v>športy s lietajúcim diskom</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97425.61</v>
      </c>
      <c r="J41" s="219">
        <f>+K46</f>
        <v>0</v>
      </c>
      <c r="K41" s="219">
        <f>+I41-H41</f>
        <v>97425.61</v>
      </c>
      <c r="L41" s="161" t="str">
        <f>IF(L38&gt;0,"a - "&amp;INDEX(FP!C:C,Doklady!B2),2)</f>
        <v>a - športy s lietajúcim diskom - bežné transfery</v>
      </c>
      <c r="M41" s="120">
        <v>1</v>
      </c>
      <c r="N41" s="161" t="str">
        <f>+L41</f>
        <v>a - športy s lietajúcim diskom - bežné transfery</v>
      </c>
      <c r="O41" s="120">
        <v>2</v>
      </c>
      <c r="P41" s="161" t="str">
        <f>+L41</f>
        <v>a - športy s lietajúcim diskom - bežné transfery</v>
      </c>
      <c r="Q41" s="120">
        <v>3</v>
      </c>
      <c r="R41" s="161" t="str">
        <f>+L41</f>
        <v>a - športy s lietajúcim diskom - bežné transfery</v>
      </c>
      <c r="S41" s="120">
        <v>4</v>
      </c>
      <c r="T41" s="161" t="str">
        <f>+L41</f>
        <v>a - športy s lietajúcim diskom - bežné transfery</v>
      </c>
      <c r="U41" s="120">
        <v>5</v>
      </c>
    </row>
    <row r="42" spans="1:21" ht="10.5" customHeight="1" x14ac:dyDescent="0.2">
      <c r="A42" s="115" t="s">
        <v>375</v>
      </c>
      <c r="B42" s="116" t="s">
        <v>417</v>
      </c>
      <c r="C42" s="73">
        <f>+C40</f>
        <v>0</v>
      </c>
      <c r="D42" s="216">
        <f>+D40</f>
        <v>7735.5999999999995</v>
      </c>
      <c r="E42" s="216">
        <f>+E40</f>
        <v>5481.9400000000005</v>
      </c>
      <c r="F42" s="216">
        <f>+MIN(F39:F40)</f>
        <v>2839.8500000000004</v>
      </c>
      <c r="G42" s="216">
        <f>+MIN(G39+MAX(F39-F40,0)-MAX(E40-E39,0)-MAX(D40-D39,0)-MAX(C40-C39,0),G40)</f>
        <v>0</v>
      </c>
      <c r="H42" s="216">
        <f>+MIN(H39:H40)</f>
        <v>0</v>
      </c>
      <c r="I42" s="73">
        <f>+C42+D42+E42+MIN(F39:F40)+G42+H42</f>
        <v>16057.390000000001</v>
      </c>
      <c r="J42" s="219">
        <f>+K47</f>
        <v>0</v>
      </c>
      <c r="K42" s="219">
        <f>+I42-H42</f>
        <v>16057.390000000001</v>
      </c>
      <c r="L42" s="161" t="str">
        <f>+SUBSTITUTE(L41,"bežné","kapitálové")</f>
        <v>a - športy s lietajúcim diskom - kapitálové transfery</v>
      </c>
      <c r="M42" s="120">
        <v>1</v>
      </c>
      <c r="N42" s="161" t="str">
        <f>+L42</f>
        <v>a - športy s lietajúcim diskom - kapitálové transfery</v>
      </c>
      <c r="O42" s="120">
        <v>2</v>
      </c>
      <c r="P42" s="161" t="str">
        <f>+L42</f>
        <v>a - športy s lietajúcim diskom - kapitálové transfery</v>
      </c>
      <c r="Q42" s="120">
        <v>3</v>
      </c>
      <c r="R42" s="161" t="str">
        <f>+L42</f>
        <v>a - športy s lietajúcim diskom - kapitálové transfery</v>
      </c>
      <c r="S42" s="120">
        <v>4</v>
      </c>
      <c r="T42" s="161" t="str">
        <f>+L42</f>
        <v>a - športy s lietajúcim diskom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športy s lietajúcim diskom - bežné transfery</v>
      </c>
      <c r="C53" s="73">
        <f>IF(A53&lt;&gt;"",INDEX(FP!D:D,Doklady!B$2+(ROW()-53)),"")</f>
        <v>113483</v>
      </c>
      <c r="D53" s="73">
        <f>IF(A53&lt;&gt;"",Doklady!I1-Doklady!J1,"")</f>
        <v>27908.67</v>
      </c>
      <c r="E53" s="73">
        <f>IF(A53&lt;&gt;"",MIN(D53,C53)*Doklady!C1/(1-Doklady!C1),"")</f>
        <v>0</v>
      </c>
      <c r="F53" s="71">
        <f>IF(A53&lt;&gt;"",Doklady!J1,"")</f>
        <v>0</v>
      </c>
      <c r="G53" s="73">
        <f>+IFERROR(HLOOKUP(IF(RIGHT(B53,15)="bežné transfery",LEFT(B53,LEN(B53)-18),0),$J$40:$K$42,3,0),MIN(C53,D53))</f>
        <v>16057.390000000001</v>
      </c>
      <c r="H53" s="71"/>
      <c r="I53" s="73">
        <f>IF(A53&lt;&gt;"",MAX(IF(G53&lt;C53,C53-G53,0)+IF(F53&lt;E53,E53-F53,0),0),0)</f>
        <v>97425.61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113483</v>
      </c>
      <c r="D130" s="228">
        <f t="shared" ref="D130:I130" si="9">SUM(D53:D129)</f>
        <v>27908.67</v>
      </c>
      <c r="E130" s="228">
        <f t="shared" si="9"/>
        <v>0</v>
      </c>
      <c r="F130" s="228">
        <f t="shared" si="9"/>
        <v>0</v>
      </c>
      <c r="G130" s="228">
        <f t="shared" si="9"/>
        <v>16057.390000000001</v>
      </c>
      <c r="H130" s="228">
        <f t="shared" si="9"/>
        <v>0</v>
      </c>
      <c r="I130" s="228">
        <f t="shared" si="9"/>
        <v>97425.61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58"/>
      <c r="E140" s="358"/>
      <c r="F140" s="358"/>
      <c r="G140" s="358"/>
      <c r="H140" s="358"/>
      <c r="I140" s="358"/>
      <c r="J140" s="85"/>
    </row>
    <row r="141" spans="1:26" ht="68.25" customHeight="1" x14ac:dyDescent="0.25">
      <c r="A141" s="9"/>
      <c r="B141" s="283" t="s">
        <v>434</v>
      </c>
      <c r="C141" s="214"/>
      <c r="D141" s="342" t="s">
        <v>435</v>
      </c>
      <c r="E141" s="342"/>
      <c r="F141" s="342"/>
      <c r="G141" s="342"/>
      <c r="H141" s="342"/>
      <c r="I141" s="342"/>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5000"/>
  <sheetViews>
    <sheetView tabSelected="1" topLeftCell="A137" zoomScaleNormal="100" workbookViewId="0">
      <selection activeCell="A164" sqref="A164"/>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športy s lietajúcim diskom - bežné transfery</v>
      </c>
      <c r="B1" s="232" t="str">
        <f>INDEX(Adr!A:A,B102+1)</f>
        <v>31749852</v>
      </c>
      <c r="C1" s="233">
        <f>IF(ROW()&lt;=B$3,INDEX(FP!E:E,B$2+ROW()-1),"")</f>
        <v>0</v>
      </c>
      <c r="D1" s="234" t="str">
        <f>IF(ROW()&lt;=B$3,INDEX(FP!F:F,B$2+ROW()-1),"")</f>
        <v>a</v>
      </c>
      <c r="E1" s="234"/>
      <c r="F1" s="234" t="str">
        <f>IF(ROW()&lt;=B$3,INDEX(FP!G:G,B$2+ROW()-1),"")</f>
        <v>026 02</v>
      </c>
      <c r="G1" s="234"/>
      <c r="H1" s="235" t="str">
        <f>IF(ROW()&lt;=B$3,INDEX(FP!C:C,B$2+ROW()-1),"")</f>
        <v>športy s lietajúcim diskom - bežné transfery</v>
      </c>
      <c r="I1" s="236">
        <f t="shared" ref="I1:I6" si="0">IF(ROW()&lt;=B$3,SUMIF(A$107:A$10042,A1,I$107:I$10042),"")</f>
        <v>27908.67</v>
      </c>
      <c r="J1" s="236">
        <f t="shared" ref="J1:J32" si="1">IF(ROW()&lt;=B$3,SUMIFS(I$103:I$50042,A$103:A$50042,K1,J$103:J$50042,L1),"")</f>
        <v>0</v>
      </c>
      <c r="K1" s="110" t="str">
        <f>$A1</f>
        <v>a - športy s lietajúcim diskom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28</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9</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2" x14ac:dyDescent="0.25">
      <c r="A107" s="14" t="s">
        <v>1753</v>
      </c>
      <c r="B107" s="14" t="s">
        <v>1754</v>
      </c>
      <c r="C107" s="14" t="s">
        <v>1755</v>
      </c>
      <c r="D107" s="16" t="s">
        <v>1756</v>
      </c>
      <c r="E107" s="16"/>
      <c r="F107" s="14" t="s">
        <v>1757</v>
      </c>
      <c r="G107" s="14"/>
      <c r="H107" s="14" t="s">
        <v>1758</v>
      </c>
      <c r="I107" s="15">
        <v>446.96</v>
      </c>
      <c r="J107" s="77">
        <v>3</v>
      </c>
      <c r="K107" s="92"/>
    </row>
    <row r="108" spans="1:25" ht="13.2" x14ac:dyDescent="0.25">
      <c r="A108" s="14" t="s">
        <v>1753</v>
      </c>
      <c r="B108" s="14" t="s">
        <v>1759</v>
      </c>
      <c r="C108" s="14" t="s">
        <v>1760</v>
      </c>
      <c r="D108" s="16" t="s">
        <v>1761</v>
      </c>
      <c r="E108" s="16"/>
      <c r="F108" s="14" t="s">
        <v>1762</v>
      </c>
      <c r="G108" s="14" t="s">
        <v>1763</v>
      </c>
      <c r="H108" s="14" t="s">
        <v>1764</v>
      </c>
      <c r="I108" s="15">
        <v>2258.2800000000002</v>
      </c>
      <c r="J108" s="77">
        <v>2</v>
      </c>
      <c r="K108" s="92"/>
    </row>
    <row r="109" spans="1:25" ht="13.2" x14ac:dyDescent="0.25">
      <c r="A109" s="14" t="s">
        <v>1753</v>
      </c>
      <c r="B109" s="14" t="s">
        <v>1765</v>
      </c>
      <c r="C109" s="14" t="s">
        <v>1766</v>
      </c>
      <c r="D109" s="16" t="s">
        <v>1761</v>
      </c>
      <c r="E109" s="16"/>
      <c r="F109" s="14" t="s">
        <v>1767</v>
      </c>
      <c r="G109" s="14"/>
      <c r="H109" s="14" t="s">
        <v>1768</v>
      </c>
      <c r="I109" s="15">
        <v>50</v>
      </c>
      <c r="J109" s="77">
        <v>4</v>
      </c>
      <c r="K109" s="92"/>
    </row>
    <row r="110" spans="1:25" ht="13.2" x14ac:dyDescent="0.25">
      <c r="A110" s="14" t="s">
        <v>1753</v>
      </c>
      <c r="B110" s="14" t="s">
        <v>1769</v>
      </c>
      <c r="C110" s="14" t="s">
        <v>1769</v>
      </c>
      <c r="D110" s="16" t="s">
        <v>1770</v>
      </c>
      <c r="E110" s="16"/>
      <c r="F110" s="14" t="s">
        <v>1771</v>
      </c>
      <c r="G110" s="14" t="s">
        <v>1772</v>
      </c>
      <c r="H110" s="14" t="s">
        <v>1773</v>
      </c>
      <c r="I110" s="15">
        <v>500</v>
      </c>
      <c r="J110" s="77">
        <v>2</v>
      </c>
      <c r="K110" s="92"/>
    </row>
    <row r="111" spans="1:25" ht="20.399999999999999" x14ac:dyDescent="0.25">
      <c r="A111" s="14" t="s">
        <v>1753</v>
      </c>
      <c r="B111" s="14" t="s">
        <v>1774</v>
      </c>
      <c r="C111" s="14" t="s">
        <v>1775</v>
      </c>
      <c r="D111" s="16" t="s">
        <v>1776</v>
      </c>
      <c r="E111" s="16"/>
      <c r="F111" s="14" t="s">
        <v>1777</v>
      </c>
      <c r="G111" s="14" t="s">
        <v>1778</v>
      </c>
      <c r="H111" s="14" t="s">
        <v>1779</v>
      </c>
      <c r="I111" s="15">
        <v>1000</v>
      </c>
      <c r="J111" s="77">
        <v>2</v>
      </c>
      <c r="K111" s="92"/>
    </row>
    <row r="112" spans="1:25" ht="13.2" x14ac:dyDescent="0.25">
      <c r="A112" s="14" t="s">
        <v>1753</v>
      </c>
      <c r="B112" s="14" t="s">
        <v>1780</v>
      </c>
      <c r="C112" s="14" t="s">
        <v>1781</v>
      </c>
      <c r="D112" s="16" t="s">
        <v>1782</v>
      </c>
      <c r="E112" s="16"/>
      <c r="F112" s="14" t="s">
        <v>1783</v>
      </c>
      <c r="G112" s="14"/>
      <c r="H112" s="14" t="s">
        <v>1758</v>
      </c>
      <c r="I112" s="15">
        <v>1781.83</v>
      </c>
      <c r="J112" s="77">
        <v>3</v>
      </c>
      <c r="K112" s="92"/>
    </row>
    <row r="113" spans="1:11" ht="20.399999999999999" x14ac:dyDescent="0.25">
      <c r="A113" s="14" t="s">
        <v>1753</v>
      </c>
      <c r="B113" s="14" t="s">
        <v>1784</v>
      </c>
      <c r="C113" s="14" t="s">
        <v>1785</v>
      </c>
      <c r="D113" s="16" t="s">
        <v>1786</v>
      </c>
      <c r="E113" s="16"/>
      <c r="F113" s="14" t="s">
        <v>1787</v>
      </c>
      <c r="G113" s="14" t="s">
        <v>1788</v>
      </c>
      <c r="H113" s="14" t="s">
        <v>1789</v>
      </c>
      <c r="I113" s="15">
        <v>1034.29</v>
      </c>
      <c r="J113" s="77">
        <v>3</v>
      </c>
      <c r="K113" s="92"/>
    </row>
    <row r="114" spans="1:11" ht="13.2" x14ac:dyDescent="0.25">
      <c r="A114" s="14" t="s">
        <v>1753</v>
      </c>
      <c r="B114" s="14" t="s">
        <v>1809</v>
      </c>
      <c r="C114" s="14" t="s">
        <v>1809</v>
      </c>
      <c r="D114" s="16" t="s">
        <v>1790</v>
      </c>
      <c r="E114" s="16"/>
      <c r="F114" s="14" t="s">
        <v>1791</v>
      </c>
      <c r="G114" s="14"/>
      <c r="H114" s="14" t="s">
        <v>1792</v>
      </c>
      <c r="I114" s="15">
        <v>193.54</v>
      </c>
      <c r="J114" s="77">
        <v>4</v>
      </c>
      <c r="K114" s="92"/>
    </row>
    <row r="115" spans="1:11" ht="13.2" x14ac:dyDescent="0.25">
      <c r="A115" s="14" t="s">
        <v>1753</v>
      </c>
      <c r="B115" s="14" t="s">
        <v>1810</v>
      </c>
      <c r="C115" s="14" t="s">
        <v>1810</v>
      </c>
      <c r="D115" s="16" t="s">
        <v>1790</v>
      </c>
      <c r="E115" s="16"/>
      <c r="F115" s="14" t="s">
        <v>1791</v>
      </c>
      <c r="G115" s="14"/>
      <c r="H115" s="14" t="s">
        <v>1792</v>
      </c>
      <c r="I115" s="15">
        <v>192.99</v>
      </c>
      <c r="J115" s="77">
        <v>4</v>
      </c>
      <c r="K115" s="92"/>
    </row>
    <row r="116" spans="1:11" ht="13.2" x14ac:dyDescent="0.25">
      <c r="A116" s="14" t="s">
        <v>1753</v>
      </c>
      <c r="B116" s="14" t="s">
        <v>1811</v>
      </c>
      <c r="C116" s="14" t="s">
        <v>1812</v>
      </c>
      <c r="D116" s="16" t="s">
        <v>1793</v>
      </c>
      <c r="E116" s="16"/>
      <c r="F116" s="14" t="s">
        <v>1794</v>
      </c>
      <c r="G116" s="14"/>
      <c r="H116" s="14" t="s">
        <v>1758</v>
      </c>
      <c r="I116" s="15">
        <v>569.98</v>
      </c>
      <c r="J116" s="77">
        <v>4</v>
      </c>
      <c r="K116" s="92"/>
    </row>
    <row r="117" spans="1:11" ht="20.399999999999999" x14ac:dyDescent="0.25">
      <c r="A117" s="14" t="s">
        <v>1753</v>
      </c>
      <c r="B117" s="14" t="s">
        <v>1813</v>
      </c>
      <c r="C117" s="14" t="s">
        <v>1814</v>
      </c>
      <c r="D117" s="16" t="s">
        <v>1795</v>
      </c>
      <c r="E117" s="16"/>
      <c r="F117" s="14" t="s">
        <v>1796</v>
      </c>
      <c r="G117" s="14" t="s">
        <v>1797</v>
      </c>
      <c r="H117" s="14" t="s">
        <v>1798</v>
      </c>
      <c r="I117" s="15">
        <v>500</v>
      </c>
      <c r="J117" s="77">
        <v>2</v>
      </c>
      <c r="K117" s="92"/>
    </row>
    <row r="118" spans="1:11" ht="13.2" x14ac:dyDescent="0.25">
      <c r="A118" s="14" t="s">
        <v>1753</v>
      </c>
      <c r="B118" s="14" t="s">
        <v>1817</v>
      </c>
      <c r="C118" s="14" t="s">
        <v>1818</v>
      </c>
      <c r="D118" s="16" t="s">
        <v>1799</v>
      </c>
      <c r="E118" s="16"/>
      <c r="F118" s="14" t="s">
        <v>1800</v>
      </c>
      <c r="G118" s="14" t="s">
        <v>1801</v>
      </c>
      <c r="H118" s="14" t="s">
        <v>1802</v>
      </c>
      <c r="I118" s="15">
        <v>325</v>
      </c>
      <c r="J118" s="77">
        <v>3</v>
      </c>
      <c r="K118" s="92"/>
    </row>
    <row r="119" spans="1:11" ht="20.399999999999999" x14ac:dyDescent="0.25">
      <c r="A119" s="14" t="s">
        <v>1753</v>
      </c>
      <c r="B119" s="14" t="s">
        <v>1819</v>
      </c>
      <c r="C119" s="14" t="s">
        <v>1819</v>
      </c>
      <c r="D119" s="16" t="s">
        <v>1799</v>
      </c>
      <c r="E119" s="16"/>
      <c r="F119" s="14" t="s">
        <v>1803</v>
      </c>
      <c r="G119" s="14"/>
      <c r="H119" s="14" t="s">
        <v>1804</v>
      </c>
      <c r="I119" s="15">
        <v>460.07</v>
      </c>
      <c r="J119" s="77">
        <v>2</v>
      </c>
      <c r="K119" s="92"/>
    </row>
    <row r="120" spans="1:11" ht="40.799999999999997" x14ac:dyDescent="0.25">
      <c r="A120" s="14" t="s">
        <v>1753</v>
      </c>
      <c r="B120" s="14" t="s">
        <v>1815</v>
      </c>
      <c r="C120" s="14" t="s">
        <v>1816</v>
      </c>
      <c r="D120" s="16" t="s">
        <v>1805</v>
      </c>
      <c r="E120" s="16"/>
      <c r="F120" s="14" t="s">
        <v>1806</v>
      </c>
      <c r="G120" s="14" t="s">
        <v>1807</v>
      </c>
      <c r="H120" s="14" t="s">
        <v>1808</v>
      </c>
      <c r="I120" s="15">
        <v>1140</v>
      </c>
      <c r="J120" s="77">
        <v>4</v>
      </c>
      <c r="K120" s="92"/>
    </row>
    <row r="121" spans="1:11" ht="20.399999999999999" x14ac:dyDescent="0.25">
      <c r="A121" s="14" t="s">
        <v>1753</v>
      </c>
      <c r="B121" s="14"/>
      <c r="C121" s="14"/>
      <c r="D121" s="16" t="s">
        <v>1820</v>
      </c>
      <c r="E121" s="16"/>
      <c r="F121" s="14" t="s">
        <v>1803</v>
      </c>
      <c r="G121" s="14"/>
      <c r="H121" s="14" t="s">
        <v>1824</v>
      </c>
      <c r="I121" s="15">
        <v>220</v>
      </c>
      <c r="J121" s="77">
        <v>2</v>
      </c>
      <c r="K121" s="92"/>
    </row>
    <row r="122" spans="1:11" ht="13.2" x14ac:dyDescent="0.25">
      <c r="A122" s="14" t="s">
        <v>1753</v>
      </c>
      <c r="B122" s="14"/>
      <c r="C122" s="14"/>
      <c r="D122" s="16" t="s">
        <v>1821</v>
      </c>
      <c r="E122" s="16"/>
      <c r="F122" s="14" t="s">
        <v>1791</v>
      </c>
      <c r="G122" s="14"/>
      <c r="H122" s="14" t="s">
        <v>1792</v>
      </c>
      <c r="I122" s="15">
        <v>203.34</v>
      </c>
      <c r="J122" s="77">
        <v>4</v>
      </c>
      <c r="K122" s="92"/>
    </row>
    <row r="123" spans="1:11" ht="20.399999999999999" x14ac:dyDescent="0.25">
      <c r="A123" s="14" t="s">
        <v>1753</v>
      </c>
      <c r="B123" s="14"/>
      <c r="C123" s="14"/>
      <c r="D123" s="16" t="s">
        <v>1821</v>
      </c>
      <c r="E123" s="16"/>
      <c r="F123" s="14" t="s">
        <v>1852</v>
      </c>
      <c r="G123" s="14"/>
      <c r="H123" s="14" t="s">
        <v>1825</v>
      </c>
      <c r="I123" s="15">
        <v>228</v>
      </c>
      <c r="J123" s="77">
        <v>3</v>
      </c>
      <c r="K123" s="92"/>
    </row>
    <row r="124" spans="1:11" ht="20.399999999999999" x14ac:dyDescent="0.25">
      <c r="A124" s="14" t="s">
        <v>1753</v>
      </c>
      <c r="B124" s="14"/>
      <c r="C124" s="14"/>
      <c r="D124" s="16" t="s">
        <v>1821</v>
      </c>
      <c r="E124" s="16"/>
      <c r="F124" s="14" t="s">
        <v>1852</v>
      </c>
      <c r="G124" s="14"/>
      <c r="H124" s="14" t="s">
        <v>1824</v>
      </c>
      <c r="I124" s="15">
        <v>228.8</v>
      </c>
      <c r="J124" s="77">
        <v>3</v>
      </c>
      <c r="K124" s="92"/>
    </row>
    <row r="125" spans="1:11" ht="13.2" x14ac:dyDescent="0.25">
      <c r="A125" s="14" t="s">
        <v>1753</v>
      </c>
      <c r="B125" s="14"/>
      <c r="C125" s="14"/>
      <c r="D125" s="16" t="s">
        <v>1821</v>
      </c>
      <c r="E125" s="16"/>
      <c r="F125" s="14" t="s">
        <v>1853</v>
      </c>
      <c r="G125" s="14" t="s">
        <v>1823</v>
      </c>
      <c r="H125" s="14" t="s">
        <v>1822</v>
      </c>
      <c r="I125" s="15">
        <v>139.47999999999999</v>
      </c>
      <c r="J125" s="77">
        <v>2</v>
      </c>
      <c r="K125" s="92"/>
    </row>
    <row r="126" spans="1:11" ht="20.399999999999999" x14ac:dyDescent="0.25">
      <c r="A126" s="14" t="s">
        <v>1753</v>
      </c>
      <c r="B126" s="14"/>
      <c r="C126" s="14"/>
      <c r="D126" s="16" t="s">
        <v>1827</v>
      </c>
      <c r="E126" s="16"/>
      <c r="F126" s="14" t="s">
        <v>1852</v>
      </c>
      <c r="G126" s="14"/>
      <c r="H126" s="14" t="s">
        <v>1826</v>
      </c>
      <c r="I126" s="15">
        <v>293.8</v>
      </c>
      <c r="J126" s="77">
        <v>3</v>
      </c>
      <c r="K126" s="92"/>
    </row>
    <row r="127" spans="1:11" ht="20.399999999999999" x14ac:dyDescent="0.25">
      <c r="A127" s="14" t="s">
        <v>1753</v>
      </c>
      <c r="B127" s="14"/>
      <c r="C127" s="14"/>
      <c r="D127" s="16" t="s">
        <v>1827</v>
      </c>
      <c r="E127" s="16"/>
      <c r="F127" s="14" t="s">
        <v>1852</v>
      </c>
      <c r="G127" s="14"/>
      <c r="H127" s="14" t="s">
        <v>1828</v>
      </c>
      <c r="I127" s="15">
        <v>228.8</v>
      </c>
      <c r="J127" s="77">
        <v>3</v>
      </c>
      <c r="K127" s="92"/>
    </row>
    <row r="128" spans="1:11" ht="20.399999999999999" x14ac:dyDescent="0.25">
      <c r="A128" s="14" t="s">
        <v>1753</v>
      </c>
      <c r="B128" s="14"/>
      <c r="C128" s="14"/>
      <c r="D128" s="16" t="s">
        <v>1827</v>
      </c>
      <c r="E128" s="16"/>
      <c r="F128" s="14" t="s">
        <v>1852</v>
      </c>
      <c r="G128" s="14"/>
      <c r="H128" s="14" t="s">
        <v>1829</v>
      </c>
      <c r="I128" s="15">
        <v>228.8</v>
      </c>
      <c r="J128" s="77">
        <v>3</v>
      </c>
      <c r="K128" s="92"/>
    </row>
    <row r="129" spans="1:11" ht="20.399999999999999" x14ac:dyDescent="0.25">
      <c r="A129" s="14" t="s">
        <v>1753</v>
      </c>
      <c r="B129" s="14"/>
      <c r="C129" s="14"/>
      <c r="D129" s="16" t="s">
        <v>1830</v>
      </c>
      <c r="E129" s="16"/>
      <c r="F129" s="14" t="s">
        <v>1852</v>
      </c>
      <c r="G129" s="14"/>
      <c r="H129" s="14" t="s">
        <v>1825</v>
      </c>
      <c r="I129" s="15">
        <v>65</v>
      </c>
      <c r="J129" s="77">
        <v>3</v>
      </c>
      <c r="K129" s="92"/>
    </row>
    <row r="130" spans="1:11" ht="20.399999999999999" x14ac:dyDescent="0.25">
      <c r="A130" s="14" t="s">
        <v>1753</v>
      </c>
      <c r="B130" s="14"/>
      <c r="C130" s="14"/>
      <c r="D130" s="16" t="s">
        <v>1832</v>
      </c>
      <c r="E130" s="16"/>
      <c r="F130" s="14" t="s">
        <v>1852</v>
      </c>
      <c r="G130" s="14"/>
      <c r="H130" s="14" t="s">
        <v>1831</v>
      </c>
      <c r="I130" s="15">
        <v>620.66</v>
      </c>
      <c r="J130" s="77">
        <v>3</v>
      </c>
      <c r="K130" s="92"/>
    </row>
    <row r="131" spans="1:11" ht="13.2" x14ac:dyDescent="0.25">
      <c r="A131" s="14" t="s">
        <v>1753</v>
      </c>
      <c r="B131" s="14"/>
      <c r="C131" s="14"/>
      <c r="D131" s="16" t="s">
        <v>1832</v>
      </c>
      <c r="E131" s="16"/>
      <c r="F131" s="14" t="s">
        <v>1854</v>
      </c>
      <c r="G131" s="14"/>
      <c r="H131" s="14" t="s">
        <v>1833</v>
      </c>
      <c r="I131" s="15">
        <v>72.540000000000006</v>
      </c>
      <c r="J131" s="77">
        <v>2</v>
      </c>
      <c r="K131" s="92"/>
    </row>
    <row r="132" spans="1:11" ht="13.2" x14ac:dyDescent="0.25">
      <c r="A132" s="14" t="s">
        <v>1753</v>
      </c>
      <c r="B132" s="14"/>
      <c r="C132" s="14"/>
      <c r="D132" s="16" t="s">
        <v>1832</v>
      </c>
      <c r="E132" s="16"/>
      <c r="F132" s="14" t="s">
        <v>1854</v>
      </c>
      <c r="G132" s="14"/>
      <c r="H132" s="14" t="s">
        <v>1834</v>
      </c>
      <c r="I132" s="15">
        <v>73.540000000000006</v>
      </c>
      <c r="J132" s="77">
        <v>2</v>
      </c>
      <c r="K132" s="92"/>
    </row>
    <row r="133" spans="1:11" ht="13.2" x14ac:dyDescent="0.25">
      <c r="A133" s="14" t="s">
        <v>1753</v>
      </c>
      <c r="B133" s="14"/>
      <c r="C133" s="14"/>
      <c r="D133" s="16" t="s">
        <v>1835</v>
      </c>
      <c r="E133" s="16"/>
      <c r="F133" s="14" t="s">
        <v>1836</v>
      </c>
      <c r="G133" s="14" t="s">
        <v>1838</v>
      </c>
      <c r="H133" s="14" t="s">
        <v>1837</v>
      </c>
      <c r="I133" s="15">
        <v>150</v>
      </c>
      <c r="J133" s="77">
        <v>2</v>
      </c>
      <c r="K133" s="92"/>
    </row>
    <row r="134" spans="1:11" ht="13.2" x14ac:dyDescent="0.25">
      <c r="A134" s="14" t="s">
        <v>1753</v>
      </c>
      <c r="B134" s="14"/>
      <c r="C134" s="14"/>
      <c r="D134" s="16" t="s">
        <v>1835</v>
      </c>
      <c r="E134" s="16"/>
      <c r="F134" s="14" t="s">
        <v>1855</v>
      </c>
      <c r="G134" s="14"/>
      <c r="H134" s="14" t="s">
        <v>1824</v>
      </c>
      <c r="I134" s="15">
        <v>282.49</v>
      </c>
      <c r="J134" s="77">
        <v>2</v>
      </c>
      <c r="K134" s="92"/>
    </row>
    <row r="135" spans="1:11" ht="20.399999999999999" x14ac:dyDescent="0.25">
      <c r="A135" s="14" t="s">
        <v>1753</v>
      </c>
      <c r="B135" s="14"/>
      <c r="C135" s="14"/>
      <c r="D135" s="16" t="s">
        <v>1835</v>
      </c>
      <c r="E135" s="16"/>
      <c r="F135" s="14" t="s">
        <v>1839</v>
      </c>
      <c r="G135" s="14" t="s">
        <v>1778</v>
      </c>
      <c r="H135" s="14" t="s">
        <v>1779</v>
      </c>
      <c r="I135" s="15">
        <v>1820</v>
      </c>
      <c r="J135" s="77">
        <v>2</v>
      </c>
      <c r="K135" s="92"/>
    </row>
    <row r="136" spans="1:11" ht="20.399999999999999" x14ac:dyDescent="0.25">
      <c r="A136" s="14" t="s">
        <v>1753</v>
      </c>
      <c r="B136" s="14"/>
      <c r="C136" s="14"/>
      <c r="D136" s="16" t="s">
        <v>1840</v>
      </c>
      <c r="E136" s="16"/>
      <c r="F136" s="14" t="s">
        <v>1849</v>
      </c>
      <c r="G136" s="14" t="s">
        <v>1847</v>
      </c>
      <c r="H136" s="14" t="s">
        <v>1848</v>
      </c>
      <c r="I136" s="15">
        <v>400</v>
      </c>
      <c r="J136" s="77">
        <v>4</v>
      </c>
      <c r="K136" s="92"/>
    </row>
    <row r="137" spans="1:11" ht="20.399999999999999" x14ac:dyDescent="0.25">
      <c r="A137" s="14" t="s">
        <v>1753</v>
      </c>
      <c r="B137" s="14"/>
      <c r="C137" s="14"/>
      <c r="D137" s="16" t="s">
        <v>1840</v>
      </c>
      <c r="E137" s="16"/>
      <c r="F137" s="14" t="s">
        <v>1849</v>
      </c>
      <c r="G137" s="14" t="s">
        <v>1847</v>
      </c>
      <c r="H137" s="14" t="s">
        <v>1848</v>
      </c>
      <c r="I137" s="15">
        <v>90</v>
      </c>
      <c r="J137" s="77">
        <v>4</v>
      </c>
      <c r="K137" s="92"/>
    </row>
    <row r="138" spans="1:11" ht="13.2" x14ac:dyDescent="0.25">
      <c r="A138" s="14" t="s">
        <v>1753</v>
      </c>
      <c r="B138" s="14"/>
      <c r="C138" s="14"/>
      <c r="D138" s="16" t="s">
        <v>1841</v>
      </c>
      <c r="E138" s="16"/>
      <c r="F138" s="14" t="s">
        <v>1851</v>
      </c>
      <c r="G138" s="14"/>
      <c r="H138" s="14" t="s">
        <v>1850</v>
      </c>
      <c r="I138" s="15">
        <v>59.5</v>
      </c>
      <c r="J138" s="77">
        <v>2</v>
      </c>
      <c r="K138" s="92"/>
    </row>
    <row r="139" spans="1:11" ht="13.2" x14ac:dyDescent="0.25">
      <c r="A139" s="14" t="s">
        <v>1753</v>
      </c>
      <c r="B139" s="14"/>
      <c r="C139" s="14"/>
      <c r="D139" s="16" t="s">
        <v>1843</v>
      </c>
      <c r="E139" s="16" t="s">
        <v>1842</v>
      </c>
      <c r="F139" s="14" t="s">
        <v>1844</v>
      </c>
      <c r="G139" s="14" t="s">
        <v>1846</v>
      </c>
      <c r="H139" s="14" t="s">
        <v>1845</v>
      </c>
      <c r="I139" s="15">
        <v>199.7</v>
      </c>
      <c r="J139" s="77">
        <v>2</v>
      </c>
      <c r="K139" s="92"/>
    </row>
    <row r="140" spans="1:11" ht="13.2" x14ac:dyDescent="0.25">
      <c r="A140" s="14" t="s">
        <v>1753</v>
      </c>
      <c r="B140" s="14"/>
      <c r="C140" s="14"/>
      <c r="D140" s="16"/>
      <c r="E140" s="16"/>
      <c r="F140" s="14"/>
      <c r="G140" s="14"/>
      <c r="H140" s="14"/>
      <c r="I140" s="15">
        <v>202.22</v>
      </c>
      <c r="J140" s="77"/>
      <c r="K140" s="92"/>
    </row>
    <row r="141" spans="1:11" ht="13.2" x14ac:dyDescent="0.25">
      <c r="A141" s="14" t="s">
        <v>1753</v>
      </c>
      <c r="B141" s="14"/>
      <c r="C141" s="14"/>
      <c r="D141" s="16"/>
      <c r="E141" s="16"/>
      <c r="F141" s="14"/>
      <c r="G141" s="14"/>
      <c r="H141" s="14"/>
      <c r="I141" s="15">
        <v>479.33</v>
      </c>
      <c r="J141" s="77"/>
      <c r="K141" s="92"/>
    </row>
    <row r="142" spans="1:11" ht="13.2" x14ac:dyDescent="0.25">
      <c r="A142" s="14" t="s">
        <v>1753</v>
      </c>
      <c r="B142" s="14"/>
      <c r="C142" s="14"/>
      <c r="D142" s="16"/>
      <c r="E142" s="16"/>
      <c r="F142" s="14"/>
      <c r="G142" s="14"/>
      <c r="H142" s="14"/>
      <c r="I142" s="15">
        <v>171</v>
      </c>
      <c r="J142" s="77"/>
      <c r="K142" s="92"/>
    </row>
    <row r="143" spans="1:11" ht="13.2" x14ac:dyDescent="0.25">
      <c r="A143" s="14" t="s">
        <v>1753</v>
      </c>
      <c r="B143" s="14"/>
      <c r="C143" s="14"/>
      <c r="D143" s="16"/>
      <c r="E143" s="16"/>
      <c r="F143" s="14"/>
      <c r="G143" s="14"/>
      <c r="H143" s="14"/>
      <c r="I143" s="15">
        <v>267.08999999999997</v>
      </c>
      <c r="J143" s="77"/>
      <c r="K143" s="92"/>
    </row>
    <row r="144" spans="1:11" ht="13.2" x14ac:dyDescent="0.25">
      <c r="A144" s="14" t="s">
        <v>1753</v>
      </c>
      <c r="B144" s="14"/>
      <c r="C144" s="14"/>
      <c r="D144" s="16"/>
      <c r="E144" s="16"/>
      <c r="F144" s="14"/>
      <c r="G144" s="14"/>
      <c r="H144" s="14"/>
      <c r="I144" s="15">
        <v>120.77</v>
      </c>
      <c r="J144" s="77"/>
      <c r="K144" s="92"/>
    </row>
    <row r="145" spans="1:11" ht="13.2" x14ac:dyDescent="0.25">
      <c r="A145" s="14" t="s">
        <v>1753</v>
      </c>
      <c r="B145" s="14"/>
      <c r="C145" s="14"/>
      <c r="D145" s="16"/>
      <c r="E145" s="16"/>
      <c r="F145" s="14"/>
      <c r="G145" s="14"/>
      <c r="H145" s="14"/>
      <c r="I145" s="15">
        <v>216.32</v>
      </c>
      <c r="J145" s="77"/>
      <c r="K145" s="92"/>
    </row>
    <row r="146" spans="1:11" ht="13.2" x14ac:dyDescent="0.25">
      <c r="A146" s="14" t="s">
        <v>1753</v>
      </c>
      <c r="B146" s="14"/>
      <c r="C146" s="14"/>
      <c r="D146" s="16"/>
      <c r="E146" s="16"/>
      <c r="F146" s="14"/>
      <c r="G146" s="14"/>
      <c r="H146" s="14"/>
      <c r="I146" s="15">
        <v>52.1</v>
      </c>
      <c r="J146" s="77"/>
      <c r="K146" s="92"/>
    </row>
    <row r="147" spans="1:11" ht="13.2" x14ac:dyDescent="0.25">
      <c r="A147" s="14" t="s">
        <v>1753</v>
      </c>
      <c r="B147" s="14"/>
      <c r="C147" s="14"/>
      <c r="D147" s="16"/>
      <c r="E147" s="16"/>
      <c r="F147" s="14"/>
      <c r="G147" s="14"/>
      <c r="H147" s="14"/>
      <c r="I147" s="15">
        <v>65.599999999999994</v>
      </c>
      <c r="J147" s="77"/>
      <c r="K147" s="92"/>
    </row>
    <row r="148" spans="1:11" ht="13.2" x14ac:dyDescent="0.25">
      <c r="A148" s="14" t="s">
        <v>1753</v>
      </c>
      <c r="B148" s="14"/>
      <c r="C148" s="14"/>
      <c r="D148" s="16"/>
      <c r="E148" s="16"/>
      <c r="F148" s="14"/>
      <c r="G148" s="14"/>
      <c r="H148" s="14"/>
      <c r="I148" s="15">
        <v>283.27999999999997</v>
      </c>
      <c r="J148" s="77"/>
      <c r="K148" s="92"/>
    </row>
    <row r="149" spans="1:11" ht="13.2" x14ac:dyDescent="0.25">
      <c r="A149" s="14" t="s">
        <v>1753</v>
      </c>
      <c r="B149" s="14"/>
      <c r="C149" s="14"/>
      <c r="D149" s="16"/>
      <c r="E149" s="16"/>
      <c r="F149" s="14"/>
      <c r="G149" s="14"/>
      <c r="H149" s="14"/>
      <c r="I149" s="15">
        <v>533.38</v>
      </c>
      <c r="J149" s="77"/>
      <c r="K149" s="92"/>
    </row>
    <row r="150" spans="1:11" ht="13.2" x14ac:dyDescent="0.25">
      <c r="A150" s="14" t="s">
        <v>1753</v>
      </c>
      <c r="B150" s="14"/>
      <c r="C150" s="14"/>
      <c r="D150" s="16"/>
      <c r="E150" s="16"/>
      <c r="F150" s="14"/>
      <c r="G150" s="14"/>
      <c r="H150" s="14"/>
      <c r="I150" s="15">
        <v>5464.53</v>
      </c>
      <c r="J150" s="77"/>
      <c r="K150" s="92"/>
    </row>
    <row r="151" spans="1:11" ht="13.2" x14ac:dyDescent="0.25">
      <c r="A151" s="14" t="s">
        <v>1753</v>
      </c>
      <c r="B151" s="14"/>
      <c r="C151" s="14"/>
      <c r="D151" s="16"/>
      <c r="E151" s="16"/>
      <c r="F151" s="14"/>
      <c r="G151" s="14"/>
      <c r="H151" s="14"/>
      <c r="I151" s="15">
        <v>11.99</v>
      </c>
      <c r="J151" s="77"/>
      <c r="K151" s="92"/>
    </row>
    <row r="152" spans="1:11" ht="13.2" x14ac:dyDescent="0.25">
      <c r="A152" s="14" t="s">
        <v>1753</v>
      </c>
      <c r="B152" s="14"/>
      <c r="C152" s="14"/>
      <c r="D152" s="16"/>
      <c r="E152" s="16"/>
      <c r="F152" s="14"/>
      <c r="G152" s="14"/>
      <c r="H152" s="14"/>
      <c r="I152" s="15">
        <v>20</v>
      </c>
      <c r="J152" s="77"/>
      <c r="K152" s="92"/>
    </row>
    <row r="153" spans="1:11" ht="13.2" x14ac:dyDescent="0.25">
      <c r="A153" s="14" t="s">
        <v>1753</v>
      </c>
      <c r="B153" s="14"/>
      <c r="C153" s="14"/>
      <c r="D153" s="16"/>
      <c r="E153" s="16"/>
      <c r="F153" s="14"/>
      <c r="G153" s="14"/>
      <c r="H153" s="14"/>
      <c r="I153" s="15">
        <v>186.63</v>
      </c>
      <c r="J153" s="77"/>
      <c r="K153" s="92"/>
    </row>
    <row r="154" spans="1:11" ht="13.2" x14ac:dyDescent="0.25">
      <c r="A154" s="14" t="s">
        <v>1753</v>
      </c>
      <c r="B154" s="14"/>
      <c r="C154" s="14"/>
      <c r="D154" s="16"/>
      <c r="E154" s="16"/>
      <c r="F154" s="14"/>
      <c r="G154" s="14"/>
      <c r="H154" s="14"/>
      <c r="I154" s="15">
        <v>548.33000000000004</v>
      </c>
      <c r="J154" s="77"/>
      <c r="K154" s="92"/>
    </row>
    <row r="155" spans="1:11" ht="13.2" x14ac:dyDescent="0.25">
      <c r="A155" s="14" t="s">
        <v>1753</v>
      </c>
      <c r="B155" s="14"/>
      <c r="C155" s="14"/>
      <c r="D155" s="16"/>
      <c r="E155" s="16"/>
      <c r="F155" s="14"/>
      <c r="G155" s="14"/>
      <c r="H155" s="14"/>
      <c r="I155" s="15">
        <v>139.94</v>
      </c>
      <c r="J155" s="77"/>
      <c r="K155" s="92"/>
    </row>
    <row r="156" spans="1:11" ht="13.2" x14ac:dyDescent="0.25">
      <c r="A156" s="14" t="s">
        <v>1753</v>
      </c>
      <c r="B156" s="14"/>
      <c r="C156" s="14"/>
      <c r="D156" s="16"/>
      <c r="E156" s="16"/>
      <c r="F156" s="14"/>
      <c r="G156" s="14"/>
      <c r="H156" s="14"/>
      <c r="I156" s="15">
        <v>66.400000000000006</v>
      </c>
      <c r="J156" s="77"/>
      <c r="K156" s="92"/>
    </row>
    <row r="157" spans="1:11" ht="13.2" x14ac:dyDescent="0.25">
      <c r="A157" s="14" t="s">
        <v>1753</v>
      </c>
      <c r="B157" s="14"/>
      <c r="C157" s="14"/>
      <c r="D157" s="16"/>
      <c r="E157" s="16"/>
      <c r="F157" s="14"/>
      <c r="G157" s="14"/>
      <c r="H157" s="14"/>
      <c r="I157" s="15">
        <v>210</v>
      </c>
      <c r="J157" s="77"/>
      <c r="K157" s="92"/>
    </row>
    <row r="158" spans="1:11" ht="13.2" x14ac:dyDescent="0.25">
      <c r="A158" s="14" t="s">
        <v>1753</v>
      </c>
      <c r="B158" s="14"/>
      <c r="C158" s="14"/>
      <c r="D158" s="16"/>
      <c r="E158" s="16"/>
      <c r="F158" s="14"/>
      <c r="G158" s="14"/>
      <c r="H158" s="14"/>
      <c r="I158" s="15">
        <v>271.55</v>
      </c>
      <c r="J158" s="77"/>
      <c r="K158" s="92"/>
    </row>
    <row r="159" spans="1:11" ht="13.2" x14ac:dyDescent="0.25">
      <c r="A159" s="14" t="s">
        <v>1753</v>
      </c>
      <c r="B159" s="14"/>
      <c r="C159" s="14"/>
      <c r="D159" s="16"/>
      <c r="E159" s="16"/>
      <c r="F159" s="14"/>
      <c r="G159" s="14"/>
      <c r="H159" s="14"/>
      <c r="I159" s="15">
        <v>600.05999999999995</v>
      </c>
      <c r="J159" s="77"/>
      <c r="K159" s="92"/>
    </row>
    <row r="160" spans="1:11" ht="13.2" x14ac:dyDescent="0.25">
      <c r="A160" s="14" t="s">
        <v>1753</v>
      </c>
      <c r="B160" s="14"/>
      <c r="C160" s="14"/>
      <c r="D160" s="16"/>
      <c r="E160" s="16"/>
      <c r="F160" s="14"/>
      <c r="G160" s="14"/>
      <c r="H160" s="14"/>
      <c r="I160" s="15">
        <v>959.88</v>
      </c>
      <c r="J160" s="77"/>
      <c r="K160" s="92"/>
    </row>
    <row r="161" spans="1:11" ht="13.2" x14ac:dyDescent="0.25">
      <c r="A161" s="14" t="s">
        <v>1753</v>
      </c>
      <c r="B161" s="14"/>
      <c r="C161" s="14"/>
      <c r="D161" s="16"/>
      <c r="E161" s="16"/>
      <c r="F161" s="14"/>
      <c r="G161" s="14"/>
      <c r="H161" s="14"/>
      <c r="I161" s="15">
        <v>10</v>
      </c>
      <c r="J161" s="77"/>
      <c r="K161" s="92"/>
    </row>
    <row r="162" spans="1:11" ht="13.2" x14ac:dyDescent="0.25">
      <c r="A162" s="14" t="s">
        <v>1753</v>
      </c>
      <c r="B162" s="14"/>
      <c r="C162" s="14"/>
      <c r="D162" s="16"/>
      <c r="E162" s="16"/>
      <c r="F162" s="14"/>
      <c r="G162" s="14"/>
      <c r="H162" s="14"/>
      <c r="I162" s="15">
        <v>157.13999999999999</v>
      </c>
      <c r="J162" s="77"/>
      <c r="K162" s="92"/>
    </row>
    <row r="163" spans="1:11" ht="13.2" x14ac:dyDescent="0.25">
      <c r="A163" s="14" t="s">
        <v>1753</v>
      </c>
      <c r="B163" s="14"/>
      <c r="C163" s="14"/>
      <c r="D163" s="16"/>
      <c r="E163" s="16"/>
      <c r="F163" s="14"/>
      <c r="G163" s="14"/>
      <c r="H163" s="14"/>
      <c r="I163" s="15">
        <v>91.17</v>
      </c>
      <c r="J163" s="77"/>
      <c r="K163" s="92"/>
    </row>
    <row r="164" spans="1:11" ht="13.2" x14ac:dyDescent="0.25">
      <c r="A164" s="14" t="s">
        <v>1753</v>
      </c>
      <c r="B164" s="14"/>
      <c r="C164" s="14"/>
      <c r="D164" s="16"/>
      <c r="E164" s="16"/>
      <c r="F164" s="14"/>
      <c r="G164" s="14"/>
      <c r="H164" s="14"/>
      <c r="I164" s="15">
        <v>722.57</v>
      </c>
      <c r="J164" s="77"/>
      <c r="K164" s="92"/>
    </row>
    <row r="165" spans="1:11" ht="13.2" x14ac:dyDescent="0.25">
      <c r="A165" s="14"/>
      <c r="B165" s="14"/>
      <c r="C165" s="14"/>
      <c r="D165" s="16"/>
      <c r="E165" s="16"/>
      <c r="F165" s="14"/>
      <c r="G165" s="14"/>
      <c r="H165" s="14"/>
      <c r="I165" s="15"/>
      <c r="J165" s="77"/>
      <c r="K165" s="92"/>
    </row>
    <row r="166" spans="1:11" ht="13.2" x14ac:dyDescent="0.25">
      <c r="A166" s="14"/>
      <c r="B166" s="14"/>
      <c r="C166" s="14"/>
      <c r="D166" s="16"/>
      <c r="E166" s="16"/>
      <c r="F166" s="14"/>
      <c r="G166" s="14"/>
      <c r="H166" s="14"/>
      <c r="I166" s="15"/>
      <c r="J166" s="77"/>
      <c r="K166" s="92"/>
    </row>
    <row r="167" spans="1:11" ht="13.2" x14ac:dyDescent="0.25">
      <c r="A167" s="14"/>
      <c r="B167" s="14"/>
      <c r="C167" s="14"/>
      <c r="D167" s="16"/>
      <c r="E167" s="16"/>
      <c r="F167" s="14"/>
      <c r="G167" s="14"/>
      <c r="H167" s="14"/>
      <c r="I167" s="15"/>
      <c r="J167" s="77"/>
      <c r="K167" s="92"/>
    </row>
    <row r="168" spans="1:11" ht="13.2" x14ac:dyDescent="0.25">
      <c r="A168" s="14"/>
      <c r="B168" s="14"/>
      <c r="C168" s="14"/>
      <c r="D168" s="16"/>
      <c r="E168" s="16"/>
      <c r="F168" s="14"/>
      <c r="G168" s="14"/>
      <c r="H168" s="14"/>
      <c r="I168" s="15"/>
      <c r="J168" s="77"/>
      <c r="K168" s="92"/>
    </row>
    <row r="169" spans="1:11" ht="13.2" x14ac:dyDescent="0.25">
      <c r="A169" s="14"/>
      <c r="B169" s="14"/>
      <c r="C169" s="14"/>
      <c r="D169" s="16"/>
      <c r="E169" s="16"/>
      <c r="F169" s="14"/>
      <c r="G169" s="14"/>
      <c r="H169" s="14"/>
      <c r="I169" s="15"/>
      <c r="J169" s="77"/>
      <c r="K169" s="92"/>
    </row>
    <row r="170" spans="1:11" ht="13.2" x14ac:dyDescent="0.25">
      <c r="A170" s="14"/>
      <c r="B170" s="14"/>
      <c r="C170" s="14"/>
      <c r="D170" s="16"/>
      <c r="E170" s="16"/>
      <c r="F170" s="14"/>
      <c r="G170" s="14"/>
      <c r="H170" s="14"/>
      <c r="I170" s="15"/>
      <c r="J170" s="77"/>
      <c r="K170" s="92"/>
    </row>
    <row r="171" spans="1:11" ht="13.2" x14ac:dyDescent="0.25">
      <c r="A171" s="14"/>
      <c r="B171" s="14"/>
      <c r="C171" s="14"/>
      <c r="D171" s="16"/>
      <c r="E171" s="16"/>
      <c r="F171" s="14"/>
      <c r="G171" s="14"/>
      <c r="H171" s="14"/>
      <c r="I171" s="15"/>
      <c r="J171" s="77"/>
      <c r="K171" s="92"/>
    </row>
    <row r="172" spans="1:11" ht="13.2" x14ac:dyDescent="0.25">
      <c r="A172" s="14"/>
      <c r="B172" s="14"/>
      <c r="C172" s="14"/>
      <c r="D172" s="16"/>
      <c r="E172" s="16"/>
      <c r="F172" s="14"/>
      <c r="G172" s="14"/>
      <c r="H172" s="14"/>
      <c r="I172" s="15"/>
      <c r="J172" s="77"/>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00000000-0002-0000-0400-000000000000}">
      <formula1>42370</formula1>
      <formula2>42735</formula2>
    </dataValidation>
    <dataValidation type="list" allowBlank="1" sqref="F107:F5000" xr:uid="{00000000-0002-0000-0400-000001000000}">
      <formula1>$F$96:$F$99</formula1>
    </dataValidation>
    <dataValidation type="list" allowBlank="1" showInputMessage="1" showErrorMessage="1" sqref="A107:A5000" xr:uid="{00000000-0002-0000-0400-000002000000}">
      <formula1>OFFSET($A$1,0,0,$B$3,1)</formula1>
    </dataValidation>
    <dataValidation allowBlank="1" sqref="G107:G5000" xr:uid="{00000000-0002-0000-0400-000003000000}"/>
    <dataValidation type="list" allowBlank="1" showInputMessage="1" showErrorMessage="1" errorTitle="Chyba !" error="zadajte (vyberte zo zoznamu) platný analytický kód podľa nápovedy k bunke I104" sqref="J107:J10000" xr:uid="{00000000-0002-0000-04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str">
        <f>Spolu!C3&amp;", "&amp;Spolu!C6</f>
        <v>Slovenská asociácia Frisbee, Malženice 511, Malženice, 919 29</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31749852</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str">
        <f>Spolu!C3&amp;", "&amp;Spolu!C6</f>
        <v>Slovenská asociácia Frisbee, Malženice 511, Malženice, 919 29</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31749852</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Rada mládeže Slovenska RmS</cp:lastModifiedBy>
  <cp:revision/>
  <dcterms:created xsi:type="dcterms:W3CDTF">2017-02-20T06:20:12Z</dcterms:created>
  <dcterms:modified xsi:type="dcterms:W3CDTF">2025-06-24T08:56:39Z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