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ento_zošit" defaultThemeVersion="124226"/>
  <mc:AlternateContent xmlns:mc="http://schemas.openxmlformats.org/markup-compatibility/2006">
    <mc:Choice Requires="x15">
      <x15ac:absPath xmlns:x15ac="http://schemas.microsoft.com/office/spreadsheetml/2010/11/ac" url="C:\Peto\SAF\UCTO 2025\!Priebezne zverejnovanie cerpania\"/>
    </mc:Choice>
  </mc:AlternateContent>
  <xr:revisionPtr revIDLastSave="0" documentId="13_ncr:1_{27893A72-F77D-4866-993F-842DAF0C0B48}"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 name="_xlnm.Print_Titles" localSheetId="4">Doklady!$104:$104</definedName>
    <definedName name="_xlnm.Print_Titles" localSheetId="1">Príklady!$7:$7</definedName>
    <definedName name="_xlnm.Print_Titles" localSheetId="3">Spolu!$52:$52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<sst xmlns="http://schemas.openxmlformats.org/spreadsheetml/2006/main" count="6660" uniqueCount="3060">
  <si>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</si>
  <si>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</si>
  <si>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</si>
  <si>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</si>
  <si>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</si>
  <si>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</si>
  <si>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</si>
  <si>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</si>
  <si>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</si>
  <si>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</si>
  <si>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</si>
  <si>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</si>
  <si>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</si>
  <si>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</si>
  <si>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</si>
  <si>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</si>
  <si>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</si>
  <si>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</si>
  <si>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</si>
  <si>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</si>
  <si>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</si>
  <si>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</si>
  <si>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</si>
  <si>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</si>
  <si>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</si>
  <si>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</si>
  <si>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</si>
  <si>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</si>
  <si>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</si>
  <si>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</si>
  <si>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</si>
  <si>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</si>
  <si>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</si>
  <si>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</si>
  <si>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</si>
  <si>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</si>
  <si>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</si>
  <si>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</si>
  <si>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</si>
  <si>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</si>
  <si>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</si>
  <si>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</si>
  <si>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</si>
  <si>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</si>
  <si>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</si>
  <si>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</si>
  <si>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</si>
  <si>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</si>
  <si>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</si>
  <si>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</si>
  <si>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</si>
  <si>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</si>
  <si>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</si>
  <si>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</si>
  <si>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</si>
  <si>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</si>
  <si>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</si>
  <si>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</si>
  <si>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</si>
  <si>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</si>
  <si>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</si>
  <si>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</si>
  <si>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</si>
  <si>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</si>
  <si>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</si>
  <si>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</si>
  <si>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</si>
  <si>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</si>
  <si>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</si>
  <si>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</si>
  <si>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</si>
  <si>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</si>
  <si>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</si>
  <si>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</si>
  <si>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</si>
  <si>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</si>
  <si>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</si>
  <si>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</si>
  <si>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</si>
  <si>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</si>
  <si>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</si>
  <si>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</si>
  <si>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</si>
  <si>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</si>
  <si>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</si>
  <si>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</si>
  <si>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</si>
  <si>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</si>
  <si>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</si>
  <si>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</si>
  <si>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</si>
  <si>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</si>
  <si>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</si>
  <si>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</si>
  <si>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</si>
  <si>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</si>
  <si>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</si>
  <si>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</si>
  <si>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</si>
  <si>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</si>
  <si>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</si>
  <si>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</si>
  <si>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</si>
  <si>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</si>
  <si>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</si>
  <si>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</si>
  <si>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</si>
  <si>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</si>
  <si>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</si>
  <si>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</si>
  <si>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</si>
  <si>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</si>
  <si>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</si>
  <si>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</si>
  <si>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</si>
  <si>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</si>
  <si>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</si>
  <si>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</si>
  <si>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</si>
  <si>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</si>
  <si>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</si>
  <si>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</si>
  <si>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</si>
  <si>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</si>
  <si>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</si>
  <si>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</si>
  <si>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</si>
  <si>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</si>
  <si>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</si>
  <si>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</si>
  <si>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</si>
  <si>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</si>
  <si>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</si>
  <si>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</si>
  <si>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</si>
  <si>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</si>
  <si>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</si>
  <si>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</si>
  <si>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</si>
  <si>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</si>
  <si>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</si>
  <si>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</si>
  <si>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</si>
  <si>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</si>
  <si>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</si>
  <si>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</si>
  <si>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</si>
  <si>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</si>
  <si>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</si>
  <si>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</si>
  <si>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</si>
  <si>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</si>
  <si>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</si>
  <si>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</si>
  <si>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</si>
  <si>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</si>
  <si>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</si>
  <si>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</si>
  <si>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</si>
  <si>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</si>
  <si>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</si>
  <si>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</si>
  <si>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</si>
  <si>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</si>
  <si>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</si>
  <si>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</si>
  <si>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</si>
  <si>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</si>
  <si>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</si>
  <si>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</si>
  <si>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</si>
  <si>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</si>
  <si>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</si>
  <si>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</si>
  <si>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</si>
  <si>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</si>
  <si>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</si>
  <si>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</si>
  <si>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</si>
  <si>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</si>
  <si>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</si>
  <si>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</si>
  <si>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</si>
  <si>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</si>
  <si>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</si>
  <si>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</si>
  <si>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</si>
  <si>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</si>
  <si>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</si>
  <si>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</si>
  <si>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</si>
  <si>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</si>
  <si>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</si>
  <si>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</si>
  <si>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</si>
  <si>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</si>
  <si>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</si>
  <si>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</si>
  <si>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</si>
  <si>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</si>
  <si>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</si>
  <si>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</si>
  <si>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</si>
  <si>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</si>
  <si>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</si>
  <si>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</si>
  <si>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</si>
  <si>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</si>
  <si>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</si>
  <si>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</si>
  <si>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</si>
  <si>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</si>
  <si>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</si>
  <si>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</si>
  <si>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</si>
  <si>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</si>
  <si>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</si>
  <si>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</si>
  <si>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</si>
  <si>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</si>
  <si>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</si>
  <si>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</si>
  <si>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</si>
  <si>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</si>
  <si>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</si>
  <si>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</si>
  <si>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</si>
  <si>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</si>
  <si>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</si>
  <si>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</si>
  <si>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</si>
  <si>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</si>
  <si>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</si>
  <si>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</si>
  <si>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</si>
  <si>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</si>
  <si>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</si>
  <si>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</si>
  <si>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</si>
  <si>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</si>
  <si>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</si>
  <si>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</si>
  <si>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</si>
  <si>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</si>
  <si>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</si>
  <si>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</si>
  <si>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</si>
  <si>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</si>
  <si>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</si>
  <si>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</si>
  <si>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</si>
  <si>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</si>
  <si>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</si>
  <si>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</si>
  <si>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</si>
  <si>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</si>
  <si>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</si>
  <si>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</si>
  <si>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</si>
  <si>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</si>
  <si>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</si>
  <si>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</si>
  <si>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</si>
  <si>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</si>
  <si>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</si>
  <si>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</si>
  <si>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</si>
  <si>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</si>
  <si>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</si>
  <si>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</si>
  <si>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</si>
  <si>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</si>
  <si>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</si>
  <si>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</si>
  <si>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</si>
  <si>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</si>
  <si>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</si>
  <si>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</si>
  <si>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</si>
  <si>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</si>
  <si>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</si>
  <si>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</si>
  <si>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</si>
  <si>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</si>
  <si>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</si>
  <si>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</si>
  <si>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</si>
  <si>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</si>
  <si>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</si>
  <si>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</si>
  <si>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</si>
  <si>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</si>
  <si>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</si>
  <si>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</si>
  <si>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</si>
  <si>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</si>
  <si>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</si>
  <si>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</si>
  <si>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</si>
  <si>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</si>
  <si>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</si>
  <si>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</si>
  <si>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</si>
  <si>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</si>
  <si>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</si>
  <si>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</si>
  <si>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</si>
  <si>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</si>
  <si>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</si>
  <si>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</si>
  <si>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</si>
  <si>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</si>
  <si>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</si>
  <si>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</si>
  <si>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</si>
  <si>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</si>
  <si>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</si>
  <si>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</si>
  <si>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</si>
  <si>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</si>
  <si>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</si>
  <si>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</si>
  <si>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</si>
  <si>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</si>
  <si>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</si>
  <si>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</si>
  <si>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</si>
  <si>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</si>
  <si>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</si>
  <si>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</si>
  <si>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</si>
  <si>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</si>
  <si>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</si>
  <si>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</si>
  <si>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</si>
  <si>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</si>
  <si>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</si>
  <si>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</si>
  <si>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</si>
  <si>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</si>
  <si>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</si>
  <si>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</si>
  <si>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</si>
  <si>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</si>
  <si>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</si>
  <si>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</si>
  <si>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</si>
  <si>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</si>
  <si>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</si>
  <si>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</si>
  <si>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</si>
  <si>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</si>
  <si>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</si>
  <si>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</si>
  <si>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</si>
  <si>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</si>
  <si>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</si>
  <si>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</si>
  <si>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</si>
  <si>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</si>
  <si>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</si>
  <si>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</si>
  <si>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</si>
  <si>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</si>
  <si>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</si>
  <si>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</si>
  <si>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</si>
  <si>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</si>
  <si>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</si>
  <si>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</si>
  <si>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</si>
  <si>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</si>
  <si>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</si>
  <si>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</si>
  <si>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</si>
  <si>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</si>
  <si>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</si>
  <si>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</si>
  <si>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</si>
  <si>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</si>
  <si>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</si>
  <si>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</si>
  <si>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</si>
  <si>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</si>
  <si>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</si>
  <si>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</si>
  <si>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</si>
  <si>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</si>
  <si>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</si>
  <si>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</si>
  <si>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</si>
  <si>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</si>
  <si>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</si>
  <si>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</si>
  <si>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</si>
  <si>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</si>
  <si>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</si>
  <si>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</si>
  <si>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</si>
  <si>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</si>
  <si>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</si>
  <si>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</si>
  <si>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</si>
  <si>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</si>
  <si>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</si>
  <si>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</si>
  <si>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</si>
  <si>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</si>
  <si>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</si>
  <si>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</si>
  <si>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</si>
  <si>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</si>
  <si>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</si>
  <si>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</si>
  <si>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</si>
  <si>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</si>
  <si>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</si>
  <si>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</si>
  <si>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</si>
  <si>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</si>
  <si>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</si>
  <si>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</si>
  <si>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</si>
  <si>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</si>
  <si>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</si>
  <si>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</si>
  <si>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</si>
  <si>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</si>
  <si>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</si>
  <si>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</si>
  <si>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</si>
  <si>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</si>
  <si>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</si>
  <si>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</si>
  <si>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</si>
  <si>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</si>
  <si>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</si>
  <si>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</si>
  <si>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</si>
  <si>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</si>
  <si>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</si>
  <si>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</si>
  <si>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</si>
  <si>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</si>
  <si>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</si>
  <si>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</si>
  <si>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</si>
  <si>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</si>
  <si>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</si>
  <si>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</si>
  <si>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</si>
  <si>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</si>
  <si>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</si>
  <si>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</si>
  <si>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</si>
  <si>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</si>
  <si>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</si>
  <si>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</si>
  <si>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</si>
  <si>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</si>
  <si>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</si>
  <si>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</si>
  <si>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</si>
  <si>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</si>
  <si>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</si>
  <si>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</si>
  <si>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</si>
  <si>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</si>
  <si>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</si>
  <si>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</si>
  <si>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</si>
  <si>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</si>
  <si>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</si>
  <si>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</si>
  <si>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</si>
  <si>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</si>
  <si>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</si>
  <si>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</si>
  <si>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</si>
  <si>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</si>
  <si>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</si>
  <si>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</si>
  <si>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</si>
  <si>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</si>
  <si>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</si>
  <si>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</si>
  <si>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</si>
  <si>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</si>
  <si>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</si>
  <si>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</si>
  <si>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</si>
  <si>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</si>
  <si>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</si>
  <si>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</si>
  <si>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</si>
  <si>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</si>
  <si>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</si>
  <si>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</si>
  <si>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</si>
  <si>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</si>
  <si>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</si>
  <si>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</si>
  <si>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</si>
  <si>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</si>
  <si>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</si>
  <si>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</si>
  <si>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</si>
  <si>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</si>
  <si>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</si>
  <si>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</si>
  <si>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</si>
  <si>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</si>
  <si>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</si>
  <si>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</si>
  <si>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</si>
  <si>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</si>
  <si>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</si>
  <si>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</si>
  <si>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</si>
  <si>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</si>
  <si>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</si>
  <si>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</si>
  <si>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</si>
  <si>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</si>
  <si>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</si>
  <si>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</si>
  <si>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</si>
  <si>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</si>
  <si>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</si>
  <si>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</si>
  <si>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</si>
  <si>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</si>
  <si>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</si>
  <si>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</si>
  <si>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</si>
  <si>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</si>
  <si>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</si>
  <si>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</si>
  <si>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</si>
  <si>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</si>
  <si>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</si>
  <si>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</si>
  <si>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</si>
  <si>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</si>
  <si>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</si>
  <si>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</si>
  <si>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</si>
  <si>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</si>
  <si>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</si>
  <si>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</si>
  <si>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</si>
  <si>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</si>
  <si>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</si>
  <si>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</si>
  <si>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</si>
  <si>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</si>
  <si>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</si>
  <si>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</si>
  <si>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</si>
  <si>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</si>
  <si>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</si>
  <si>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</si>
  <si>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</si>
  <si>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</si>
  <si>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</si>
  <si>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</si>
  <si>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</si>
  <si>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</si>
  <si>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</si>
  <si>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</si>
  <si>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</si>
  <si>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</si>
  <si>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</si>
  <si>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</si>
  <si>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</si>
  <si>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</si>
  <si>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</si>
  <si>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</si>
  <si>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</si>
  <si>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</si>
  <si>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</si>
  <si>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</si>
  <si>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</si>
  <si>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</si>
  <si>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</si>
  <si>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</si>
  <si>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</si>
  <si>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</si>
  <si>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</si>
  <si>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</si>
  <si>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</si>
  <si>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</si>
  <si>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</si>
  <si>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</si>
  <si>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</si>
  <si>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</si>
  <si>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</si>
  <si>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</si>
  <si>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</si>
  <si>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</si>
  <si>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</si>
  <si>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</si>
  <si>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</si>
  <si>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</si>
  <si>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</si>
  <si>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</si>
  <si>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</si>
  <si>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</si>
  <si>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</si>
  <si>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</si>
  <si>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</si>
  <si>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</si>
  <si>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</si>
  <si>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</si>
  <si>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</si>
  <si>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</si>
  <si>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</si>
  <si>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</si>
  <si>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</si>
  <si>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</si>
  <si>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</si>
  <si>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</si>
  <si>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</si>
  <si>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</si>
  <si>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</si>
  <si>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</si>
  <si>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</si>
  <si>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</si>
  <si>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</si>
  <si>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</si>
  <si>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</si>
  <si>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</si>
  <si>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</si>
  <si>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</si>
  <si>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</si>
  <si>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</si>
  <si>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</si>
  <si>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</si>
  <si>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</si>
  <si>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</si>
  <si>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</si>
  <si>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</si>
  <si>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</si>
  <si>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</si>
  <si>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</si>
  <si>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</si>
  <si>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</si>
  <si>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</si>
  <si>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</si>
  <si>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</si>
  <si>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</si>
  <si>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</si>
  <si>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</si>
  <si>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</si>
  <si>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</si>
  <si>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</si>
  <si>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</si>
  <si>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</si>
  <si>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</si>
  <si>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</si>
  <si>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</si>
  <si>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</si>
  <si>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</si>
  <si>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</si>
  <si>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</si>
  <si>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</si>
  <si>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</si>
  <si>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</si>
  <si>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</si>
  <si>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</si>
  <si>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</si>
  <si>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</si>
  <si>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</si>
  <si>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</si>
  <si>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</si>
  <si>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</si>
  <si>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</si>
  <si>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</si>
  <si>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</si>
  <si>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</si>
  <si>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</si>
  <si>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</si>
  <si>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</si>
  <si>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</si>
  <si>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</si>
  <si>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</si>
  <si>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</si>
  <si>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</si>
  <si>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</si>
  <si>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</si>
  <si>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</si>
  <si>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</si>
  <si>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</si>
  <si>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</si>
  <si>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</si>
  <si>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</si>
  <si>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</si>
  <si>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</si>
  <si>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</si>
  <si>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</si>
  <si>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</si>
  <si>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</si>
  <si>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</si>
  <si>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</si>
  <si>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</si>
  <si>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</si>
  <si>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</si>
  <si>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</si>
  <si>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</si>
  <si>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</si>
  <si>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</si>
  <si>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</si>
  <si>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</si>
  <si>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</si>
  <si>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</si>
  <si>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</si>
  <si>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</si>
  <si>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</si>
  <si>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</si>
  <si>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</si>
  <si>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</si>
  <si>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</si>
  <si>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</si>
  <si>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</si>
  <si>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</si>
  <si>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</si>
  <si>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</si>
  <si>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</si>
  <si>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</si>
  <si>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</si>
  <si>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</si>
  <si>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</si>
  <si>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</si>
  <si>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</si>
  <si>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</si>
  <si>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</si>
  <si>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</si>
  <si>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</si>
  <si>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</si>
  <si>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</si>
  <si>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</si>
  <si>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</si>
  <si>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</si>
  <si>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</si>
  <si>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</si>
  <si>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</si>
  <si>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</si>
  <si>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</si>
  <si>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</si>
  <si>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</si>
  <si>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</si>
  <si>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</si>
  <si>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</si>
  <si>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</si>
  <si>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</si>
  <si>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</si>
  <si>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</si>
  <si>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</si>
  <si>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</si>
  <si>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</si>
  <si>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</si>
  <si>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</si>
  <si>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</si>
  <si>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</si>
  <si>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</si>
  <si>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</si>
  <si>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</si>
  <si>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</si>
  <si>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</si>
  <si>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</si>
  <si>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</si>
  <si>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</si>
  <si>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</si>
  <si>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</si>
  <si>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</si>
  <si>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</si>
  <si>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</si>
  <si>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</si>
  <si>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</si>
  <si>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</si>
  <si>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</si>
  <si>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</si>
  <si>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</si>
  <si>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</si>
  <si>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</si>
  <si>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</si>
  <si>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</si>
  <si>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</si>
  <si>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</si>
  <si>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</si>
  <si>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</si>
  <si>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</si>
  <si>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</si>
  <si>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</si>
  <si>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</si>
  <si>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</si>
  <si>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</si>
  <si>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</si>
  <si>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</si>
  <si>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</si>
  <si>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</si>
  <si>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</si>
  <si>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</si>
  <si>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</si>
  <si>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</si>
  <si>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</si>
  <si>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</si>
  <si>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</si>
  <si>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</si>
  <si>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</si>
  <si>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</si>
  <si>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</si>
  <si>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</si>
  <si>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</si>
  <si>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</si>
  <si>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</si>
  <si>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</si>
  <si>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</si>
  <si>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</si>
  <si>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</si>
  <si>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</si>
  <si>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</si>
  <si>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</si>
  <si>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</si>
  <si>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</si>
  <si>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</si>
  <si>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</si>
  <si>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</si>
  <si>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</si>
  <si>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</si>
  <si>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</si>
  <si>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</si>
  <si>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</si>
  <si>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</si>
  <si>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</si>
  <si>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</si>
  <si>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</si>
  <si>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</si>
  <si>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</si>
  <si>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</si>
  <si>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</si>
  <si>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</si>
  <si>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</si>
  <si>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</si>
  <si>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</si>
  <si>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</si>
  <si>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</si>
  <si>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</si>
  <si>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</si>
  <si>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</si>
  <si>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</si>
  <si>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</si>
  <si>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</si>
  <si>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</si>
  <si>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</si>
  <si>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</si>
  <si>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</si>
  <si>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</si>
  <si>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</si>
  <si>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</si>
  <si>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</si>
  <si>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</si>
  <si>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</si>
  <si>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</si>
  <si>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</si>
  <si>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</si>
  <si>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</si>
  <si>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</si>
  <si>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</si>
  <si>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</si>
  <si>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</si>
  <si>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</si>
  <si>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</si>
  <si>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</si>
  <si>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</si>
  <si>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</si>
  <si>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</si>
  <si>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</si>
  <si>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</si>
  <si>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</si>
  <si>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</si>
  <si>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</si>
  <si>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</si>
  <si>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</si>
  <si>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</si>
  <si>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</si>
  <si>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</si>
  <si>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</si>
  <si>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</si>
  <si>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</si>
  <si>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</si>
  <si>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</si>
  <si>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</si>
  <si>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</si>
  <si>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</si>
  <si>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</si>
  <si>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</si>
  <si>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</si>
  <si>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</si>
  <si>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</si>
  <si>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</si>
  <si>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</si>
  <si>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</si>
  <si>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</si>
  <si>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</si>
  <si>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</si>
  <si>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</si>
  <si>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</si>
  <si>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</si>
  <si>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</si>
  <si>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</si>
  <si>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</si>
  <si>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</si>
  <si>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</si>
  <si>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</si>
  <si>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</si>
  <si>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</si>
  <si>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</si>
  <si>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</si>
  <si>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</si>
  <si>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</si>
  <si>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</si>
  <si>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</si>
  <si>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</si>
  <si>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</si>
  <si>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</si>
  <si>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</si>
  <si>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</si>
  <si>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</si>
  <si>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</si>
  <si>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</si>
  <si>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</si>
  <si>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</si>
  <si>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</si>
  <si>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</si>
  <si>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</si>
  <si>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</si>
  <si>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</si>
  <si>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</si>
  <si>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</si>
  <si>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</si>
  <si>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</si>
  <si>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</si>
  <si>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</si>
  <si>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</si>
  <si>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</si>
  <si>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</si>
  <si>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</si>
  <si>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</si>
  <si>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</si>
  <si>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</si>
  <si>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</si>
  <si>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</si>
  <si>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</si>
  <si>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</si>
  <si>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</si>
  <si>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</si>
  <si>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</si>
  <si>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</si>
  <si>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</si>
  <si>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</si>
  <si>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</si>
  <si>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</si>
  <si>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</si>
  <si>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</si>
  <si>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</si>
  <si>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</si>
  <si>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</si>
  <si>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</si>
  <si>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</si>
  <si>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</si>
  <si>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</si>
  <si>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</si>
  <si>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</si>
  <si>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</si>
  <si>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</si>
  <si>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</si>
  <si>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</si>
  <si>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</si>
  <si>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</si>
  <si>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</si>
  <si>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</si>
  <si>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</si>
  <si>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</si>
  <si>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</si>
  <si>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</si>
  <si>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</si>
  <si>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</si>
  <si>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</si>
  <si>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</si>
  <si>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</si>
  <si>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</si>
  <si>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</si>
  <si>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</si>
  <si>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</si>
  <si>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</si>
  <si>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</si>
  <si>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</si>
  <si>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</si>
  <si>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</si>
  <si>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</si>
  <si>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</si>
  <si>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</si>
  <si>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</si>
  <si>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</si>
  <si>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</si>
  <si>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</si>
  <si>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</si>
  <si>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</si>
  <si>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</si>
  <si>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</si>
  <si>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</si>
  <si>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</si>
  <si>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</si>
  <si>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</si>
  <si>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</si>
  <si>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</si>
  <si>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</si>
  <si>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</si>
  <si>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</si>
  <si>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</si>
  <si>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</si>
  <si>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</si>
  <si>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</si>
  <si>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</si>
  <si>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</si>
  <si>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</si>
  <si>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</si>
  <si>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</si>
  <si>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</si>
  <si>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</si>
  <si>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</si>
  <si>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</si>
  <si>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</si>
  <si>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</si>
  <si>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</si>
  <si>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</si>
  <si>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</si>
  <si>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</si>
  <si>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</si>
  <si>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</si>
  <si>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</si>
  <si>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</si>
  <si>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</si>
  <si>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</si>
  <si>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</si>
  <si>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</si>
  <si>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</si>
  <si>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</si>
  <si>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</si>
  <si>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</si>
  <si>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</si>
  <si>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</si>
  <si>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</si>
  <si>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</si>
  <si>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</si>
  <si>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</si>
  <si>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</si>
  <si>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</si>
  <si>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</si>
  <si>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</si>
  <si>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</si>
  <si>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</si>
  <si>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</si>
  <si>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</si>
  <si>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</si>
  <si>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</si>
  <si>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</si>
  <si>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</si>
  <si>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</si>
  <si>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</si>
  <si>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</si>
  <si>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</si>
  <si>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</si>
  <si>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</si>
  <si>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</si>
  <si>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</si>
  <si>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</si>
  <si>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</si>
  <si>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</si>
  <si>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</si>
  <si>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</si>
  <si>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</si>
  <si>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</si>
  <si>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</si>
  <si>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</si>
  <si>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</si>
  <si>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</si>
  <si>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</si>
  <si>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</si>
  <si>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</si>
  <si>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</si>
  <si>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</si>
  <si>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</si>
  <si>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</si>
  <si>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</si>
  <si>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</si>
  <si>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</si>
  <si>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</si>
  <si>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</si>
  <si>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</si>
  <si>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</si>
  <si>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</si>
  <si>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</si>
  <si>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</si>
  <si>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</si>
  <si>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</si>
  <si>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</si>
  <si>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</si>
  <si>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</si>
  <si>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</si>
  <si>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</si>
  <si>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</si>
  <si>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</si>
  <si>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</si>
  <si>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</si>
  <si>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</si>
  <si>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</si>
  <si>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</si>
  <si>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</si>
  <si>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</si>
  <si>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</si>
  <si>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</si>
  <si>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</si>
  <si>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</si>
  <si>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</si>
  <si>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</si>
  <si>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</si>
  <si>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</si>
  <si>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</si>
  <si>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</si>
  <si>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</si>
  <si>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</si>
  <si>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</si>
  <si>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</si>
  <si>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</si>
  <si>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</si>
  <si>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</si>
  <si>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</si>
  <si>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</si>
  <si>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</si>
  <si>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</si>
  <si>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</si>
  <si>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</si>
  <si>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</si>
  <si>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</si>
  <si>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</si>
  <si>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</si>
  <si>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</si>
  <si>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</si>
  <si>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</si>
  <si>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</si>
  <si>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</si>
  <si>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</si>
  <si>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</si>
  <si>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</si>
  <si>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</si>
  <si>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</si>
  <si>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</si>
  <si>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</si>
  <si>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</si>
  <si>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</si>
  <si>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</si>
  <si>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</si>
  <si>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</si>
  <si>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</si>
  <si>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</si>
  <si>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</si>
  <si>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</si>
  <si>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</si>
  <si>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</si>
  <si>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</si>
  <si>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</si>
  <si>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</si>
  <si>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</si>
  <si>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</si>
  <si>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</si>
  <si>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</si>
  <si>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</si>
  <si>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</si>
  <si>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</si>
  <si>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</si>
  <si>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</si>
  <si>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</si>
  <si>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</si>
  <si>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</si>
  <si>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</si>
  <si>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</si>
  <si>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</si>
  <si>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</si>
  <si>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</si>
  <si>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</si>
  <si>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</si>
  <si>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</si>
  <si>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</si>
  <si>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</si>
  <si>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</si>
  <si>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</si>
  <si>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</si>
  <si>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</si>
  <si>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</si>
  <si>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</si>
  <si>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</si>
  <si>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</si>
  <si>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</si>
  <si>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</si>
  <si>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</si>
  <si>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</si>
  <si>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</si>
  <si>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</si>
  <si>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</si>
  <si>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</si>
  <si>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</si>
  <si>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</si>
  <si>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</si>
  <si>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</si>
  <si>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</si>
  <si>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</si>
  <si>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</si>
  <si>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</si>
  <si>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</si>
  <si>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</si>
  <si>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</si>
  <si>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</si>
  <si>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</si>
  <si>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</si>
  <si>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</si>
  <si>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</si>
  <si>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</si>
  <si>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</si>
  <si>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</si>
  <si>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</si>
  <si>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</si>
  <si>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</si>
  <si>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</si>
  <si>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</si>
  <si>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</si>
  <si>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</si>
  <si>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</si>
  <si>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</si>
  <si>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</si>
  <si>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</si>
  <si>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</si>
  <si>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</si>
  <si>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</si>
  <si>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</si>
  <si>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</si>
  <si>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</si>
  <si>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</si>
  <si>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</si>
  <si>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</si>
  <si>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</si>
  <si>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</si>
  <si>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</si>
  <si>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</si>
  <si>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</si>
  <si>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</si>
  <si>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</si>
  <si>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</si>
  <si>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</si>
  <si>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</si>
  <si>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</si>
  <si>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</si>
  <si>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</si>
  <si>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</si>
  <si>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</si>
  <si>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</si>
  <si>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</si>
  <si>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</si>
  <si>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</si>
  <si>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</si>
  <si>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</si>
  <si>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</si>
  <si>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</si>
  <si>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</si>
  <si>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</si>
  <si>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</si>
  <si>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</si>
  <si>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</si>
  <si>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</si>
  <si>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</si>
  <si>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</si>
  <si>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</si>
  <si>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</si>
  <si>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</si>
  <si>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</si>
  <si>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</si>
  <si>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</si>
  <si>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</si>
  <si>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</si>
  <si>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</si>
  <si>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</si>
  <si>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</si>
  <si>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</si>
  <si>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</si>
  <si>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</si>
  <si>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</si>
  <si>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</si>
  <si>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</si>
  <si>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</si>
  <si>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</si>
  <si>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</si>
  <si>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</si>
  <si>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</si>
  <si>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</si>
  <si>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</si>
  <si>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</si>
  <si>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</si>
  <si>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</si>
  <si>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</si>
  <si>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</si>
  <si>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</si>
  <si>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</si>
  <si>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</si>
  <si>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</si>
  <si>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</si>
  <si>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</si>
  <si>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</si>
  <si>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</si>
  <si>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</si>
  <si>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</si>
  <si>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</si>
  <si>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</si>
  <si>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</si>
  <si>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</si>
  <si>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</si>
  <si>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</si>
  <si>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</si>
  <si>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</si>
  <si>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</si>
  <si>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</si>
  <si>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</si>
  <si>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</si>
  <si>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</si>
  <si>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</si>
  <si>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</si>
  <si>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</si>
  <si>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</si>
  <si>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</si>
  <si>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</si>
  <si>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</si>
  <si>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</si>
  <si>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</si>
  <si>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</si>
  <si>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</si>
  <si>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</si>
  <si>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</si>
  <si>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</si>
  <si>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</si>
  <si>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</si>
  <si>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</si>
  <si>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</si>
  <si>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</si>
  <si>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</si>
  <si>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</si>
  <si>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</si>
  <si>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</si>
  <si>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</si>
  <si>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</si>
  <si>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</si>
  <si>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</si>
  <si>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</si>
  <si>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</si>
  <si>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</si>
  <si>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</si>
  <si>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</si>
  <si>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</si>
  <si>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</si>
  <si>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</si>
  <si>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</si>
  <si>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</si>
  <si>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</si>
  <si>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</si>
  <si>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</si>
  <si>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</si>
  <si>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</si>
  <si>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</si>
  <si>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</si>
  <si>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</si>
  <si>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</si>
  <si>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</si>
  <si>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</si>
  <si>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</si>
  <si>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</si>
  <si>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</si>
  <si>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</si>
  <si>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</si>
  <si>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</si>
  <si>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</si>
  <si>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</si>
  <si>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</si>
  <si>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</si>
  <si>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</si>
  <si>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</si>
  <si>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</si>
  <si>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</si>
  <si>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</si>
  <si>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</si>
  <si>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</si>
  <si>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</si>
  <si>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</si>
  <si>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</si>
  <si>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</si>
  <si>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</si>
  <si>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</si>
  <si>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</si>
  <si>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</si>
  <si>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</si>
  <si>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</si>
  <si>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</si>
  <si>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</si>
  <si>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</si>
  <si>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</si>
  <si>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</si>
  <si>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</si>
  <si>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</si>
  <si>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</si>
  <si>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</si>
  <si>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</si>
  <si>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</si>
  <si>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</si>
  <si>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</si>
  <si>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</si>
  <si>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</si>
  <si>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</si>
  <si>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</si>
  <si>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</si>
  <si>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</si>
  <si>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</si>
  <si>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</si>
  <si>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</si>
  <si>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</si>
  <si>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</si>
  <si>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</si>
  <si>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</si>
  <si>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</si>
  <si>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</si>
  <si>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</si>
  <si>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</si>
  <si>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</si>
  <si>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</si>
  <si>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</si>
  <si>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</si>
  <si>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</si>
  <si>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</si>
  <si>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</si>
  <si>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</si>
  <si>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</si>
  <si>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</si>
  <si>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</si>
  <si>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</si>
  <si>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</si>
  <si>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</si>
  <si>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</si>
  <si>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</si>
  <si>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</si>
  <si>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</si>
  <si>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</si>
  <si>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</si>
  <si>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</si>
  <si>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</si>
  <si>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</si>
  <si>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</si>
  <si>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</si>
  <si>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</si>
  <si>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</si>
  <si>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</si>
  <si>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</si>
  <si>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</si>
  <si>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</si>
  <si>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</si>
  <si>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</si>
  <si>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</si>
  <si>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</si>
  <si>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</si>
  <si>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</si>
  <si>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</si>
  <si>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</si>
  <si>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</si>
  <si>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</si>
  <si>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</si>
  <si>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</si>
  <si>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</si>
  <si>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</si>
  <si>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</si>
  <si>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</si>
  <si>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</si>
  <si>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</si>
  <si>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</si>
  <si>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</si>
  <si>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</si>
  <si>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</si>
  <si>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</si>
  <si>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</si>
  <si>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</si>
  <si>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</si>
  <si>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</si>
  <si>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</si>
  <si>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</si>
  <si>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</si>
  <si>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</si>
  <si>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</si>
  <si>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</si>
  <si>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</si>
  <si>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</si>
  <si>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</si>
  <si>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</si>
  <si>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</si>
  <si>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</si>
  <si>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</si>
  <si>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</si>
  <si>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</si>
  <si>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</si>
  <si>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</si>
  <si>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</si>
  <si>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</si>
  <si>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</si>
  <si>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</si>
  <si>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</si>
  <si>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</si>
  <si>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</si>
  <si>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</si>
  <si>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</si>
  <si>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</si>
  <si>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</si>
  <si>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</si>
  <si>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</si>
  <si>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</si>
  <si>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</si>
  <si>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</si>
  <si>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</si>
  <si>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</si>
  <si>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</si>
  <si>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</si>
  <si>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</si>
  <si>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</si>
  <si>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</si>
  <si>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</si>
  <si>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</si>
  <si>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</si>
  <si>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</si>
  <si>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</si>
  <si>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</si>
  <si>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</si>
  <si>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</si>
  <si>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</si>
  <si>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</si>
  <si>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</si>
  <si>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</si>
  <si>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</si>
  <si>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</si>
  <si>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</si>
  <si>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</si>
  <si>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</si>
  <si>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</si>
  <si>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</si>
  <si>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</si>
  <si>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</si>
  <si>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</si>
  <si>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</si>
  <si>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</si>
  <si>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</si>
  <si>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</si>
  <si>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</si>
  <si>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</si>
  <si>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</si>
  <si>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</si>
  <si>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</si>
  <si>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</si>
  <si>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</si>
  <si>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</si>
  <si>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</si>
  <si>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</si>
  <si>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</si>
  <si>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</si>
  <si>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</si>
  <si>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</si>
  <si>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</si>
  <si>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</si>
  <si>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</si>
  <si>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</si>
  <si>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</si>
  <si>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</si>
  <si>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</si>
  <si>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</si>
  <si>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</si>
  <si>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</si>
  <si>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</si>
  <si>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</si>
  <si>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</si>
  <si>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</si>
  <si>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</si>
  <si>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</si>
  <si>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</si>
  <si>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</si>
  <si>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</si>
  <si>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</si>
  <si>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</si>
  <si>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</si>
  <si>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</si>
  <si>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</si>
  <si>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</si>
  <si>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</si>
  <si>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</si>
  <si>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</si>
  <si>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</si>
  <si>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</si>
  <si>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</si>
  <si>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</si>
  <si>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</si>
  <si>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</si>
  <si>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</si>
  <si>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</si>
  <si>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</si>
  <si>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</si>
  <si>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</si>
  <si>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</si>
  <si>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</si>
  <si>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</si>
  <si>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</si>
  <si>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</si>
  <si>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</si>
  <si>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</si>
  <si>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</si>
  <si>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</si>
  <si>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</si>
  <si>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</si>
  <si>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</si>
  <si>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</si>
  <si>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</si>
  <si>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</si>
  <si>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</si>
  <si>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</si>
  <si>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</si>
  <si>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</si>
  <si>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</si>
  <si>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</si>
  <si>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</si>
  <si>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</si>
  <si>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</si>
  <si>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</si>
  <si>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</si>
  <si>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</si>
  <si>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</si>
  <si>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</si>
  <si>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</si>
  <si>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</si>
  <si>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</si>
  <si>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</si>
  <si>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</si>
  <si>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</si>
  <si>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</si>
  <si>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</si>
  <si>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</si>
  <si>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</si>
  <si>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</si>
  <si>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</si>
  <si>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</si>
  <si>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</si>
  <si>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</si>
  <si>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</si>
  <si>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</si>
  <si>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</si>
  <si>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</si>
  <si>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</si>
  <si>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</si>
  <si>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</si>
  <si>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</si>
  <si>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</si>
  <si>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</si>
  <si>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</si>
  <si>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</si>
  <si>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</si>
  <si>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</si>
  <si>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</si>
  <si>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</si>
  <si>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</si>
  <si>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</si>
  <si>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</si>
  <si>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</si>
  <si>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</si>
  <si>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</si>
  <si>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</si>
  <si>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</si>
  <si>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</si>
  <si>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</si>
  <si>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</si>
  <si>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</si>
  <si>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</si>
  <si>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</si>
  <si>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</si>
  <si>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</si>
  <si>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</si>
  <si>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</si>
  <si>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</si>
  <si>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</si>
  <si>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</si>
  <si>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</si>
  <si>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</si>
  <si>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</si>
  <si>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</si>
  <si>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</si>
  <si>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</si>
  <si>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</si>
  <si>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</si>
  <si>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</si>
  <si>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</si>
  <si>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</si>
  <si>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</si>
  <si>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</si>
  <si>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</si>
  <si>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</si>
  <si>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</si>
  <si>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</si>
  <si>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</si>
  <si>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</si>
  <si>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</si>
  <si>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</si>
  <si>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</si>
  <si>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</si>
  <si>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</si>
  <si>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</si>
  <si>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</si>
  <si>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</si>
  <si>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</si>
  <si>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</si>
  <si>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</si>
  <si>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</si>
  <si>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</si>
  <si>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</si>
  <si>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</si>
  <si>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</si>
  <si>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</si>
  <si>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</si>
  <si>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</si>
  <si>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</si>
  <si>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</si>
  <si>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</si>
  <si>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</si>
  <si>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</si>
  <si>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</si>
  <si>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</si>
  <si>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</si>
  <si>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</si>
  <si>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</si>
  <si>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</si>
  <si>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</si>
  <si>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</si>
  <si>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</si>
  <si>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</si>
  <si>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</si>
  <si>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</si>
  <si>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</si>
  <si>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</si>
  <si>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</si>
  <si>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</si>
  <si>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</si>
  <si>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</si>
  <si>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</si>
  <si>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</si>
  <si>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</si>
  <si>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</si>
  <si>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</si>
  <si>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</si>
  <si>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</si>
  <si>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</si>
  <si>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</si>
  <si>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</si>
  <si>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</si>
  <si>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</si>
  <si>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</si>
  <si>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</si>
  <si>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</si>
  <si>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</si>
  <si>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</si>
  <si>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</si>
  <si>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</si>
  <si>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</si>
  <si>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</si>
  <si>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</si>
  <si>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</si>
  <si>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</si>
  <si>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</si>
  <si>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</si>
  <si>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</si>
  <si>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</si>
  <si>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</si>
  <si>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</si>
  <si>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</si>
  <si>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</si>
  <si>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</si>
  <si>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</si>
  <si>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</si>
  <si>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</si>
  <si>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</si>
  <si>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</si>
  <si>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</si>
  <si>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</si>
  <si>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</si>
  <si>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</si>
  <si>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</si>
  <si>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</si>
  <si>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</si>
  <si>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</si>
  <si>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</si>
  <si>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</si>
  <si>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</si>
  <si>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</si>
  <si>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</si>
  <si>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</si>
  <si>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</si>
  <si>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</si>
  <si>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</si>
  <si>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</si>
  <si>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</si>
  <si>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</si>
  <si>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</si>
  <si>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</si>
  <si>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</si>
  <si>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</si>
  <si>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</si>
  <si>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</si>
  <si>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</si>
  <si>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</si>
  <si>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</si>
  <si>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</si>
  <si>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</si>
  <si>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</si>
  <si>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</si>
  <si>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</si>
  <si>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</si>
  <si>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</si>
  <si>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</si>
  <si>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</si>
  <si>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</si>
  <si>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</si>
  <si>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</si>
  <si>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</si>
  <si>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</si>
  <si>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</si>
  <si>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</si>
  <si>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</si>
  <si>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</si>
  <si>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</si>
  <si>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</si>
  <si>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</si>
  <si>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</si>
  <si>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</si>
  <si>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</si>
  <si>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</si>
  <si>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</si>
  <si>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</si>
  <si>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</si>
  <si>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</si>
  <si>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</si>
  <si>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</si>
  <si>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</si>
  <si>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</si>
  <si>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</si>
  <si>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</si>
  <si>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</si>
  <si>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</si>
  <si>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</si>
  <si>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</si>
  <si>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</si>
  <si>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</si>
  <si>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</si>
  <si>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</si>
  <si>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</si>
  <si>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</si>
  <si>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</si>
  <si>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</si>
  <si>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</si>
  <si>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</si>
  <si>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</si>
  <si>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</si>
  <si>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</si>
  <si>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</si>
  <si>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</si>
  <si>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</si>
  <si>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</si>
  <si>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</si>
  <si>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</si>
  <si>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</si>
  <si>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</si>
  <si>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</si>
  <si>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</si>
  <si>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</si>
  <si>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</si>
  <si>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</si>
  <si>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</si>
  <si>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</si>
  <si>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</si>
  <si>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</si>
  <si>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</si>
  <si>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</si>
  <si>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</si>
  <si>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</si>
  <si>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</si>
  <si>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</si>
  <si>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</si>
  <si>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</si>
  <si>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</si>
  <si>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</si>
  <si>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</si>
  <si>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</si>
  <si>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</si>
  <si>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</si>
  <si>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</si>
  <si>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</si>
  <si>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</si>
  <si>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</si>
  <si>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</si>
  <si>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</si>
  <si>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</si>
  <si>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</si>
  <si>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</si>
  <si>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</si>
  <si>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</si>
  <si>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</si>
  <si>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</si>
  <si>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</si>
  <si>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</si>
  <si>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</si>
  <si>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</si>
  <si>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</si>
  <si>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</si>
  <si>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</si>
  <si>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</si>
  <si>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</si>
  <si>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</si>
  <si>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</si>
  <si>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</si>
  <si>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</si>
  <si>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</si>
  <si>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</si>
  <si>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</si>
  <si>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</si>
  <si>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</si>
  <si>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</si>
  <si>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</si>
  <si>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</si>
  <si>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</si>
  <si>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</si>
  <si>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</si>
  <si>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</si>
  <si>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</si>
  <si>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</si>
  <si>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</si>
  <si>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</si>
  <si>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</si>
  <si>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</si>
  <si>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</si>
  <si>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</si>
  <si>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</si>
  <si>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</si>
  <si>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</si>
  <si>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</si>
  <si>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</si>
  <si>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</si>
  <si>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</si>
  <si>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</si>
  <si>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</si>
  <si>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</si>
  <si>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</si>
  <si>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</si>
  <si>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</si>
  <si>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</si>
  <si>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</si>
  <si>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</si>
  <si>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</si>
  <si>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</si>
  <si>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</si>
  <si>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</si>
  <si>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</si>
  <si>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</si>
  <si>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</si>
  <si>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</si>
  <si>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</si>
  <si>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</si>
  <si>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</si>
  <si>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</si>
  <si>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</si>
  <si>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</si>
  <si>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</si>
  <si>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</si>
  <si>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</si>
  <si>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</si>
  <si>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</si>
  <si>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</si>
  <si>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</si>
  <si>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</si>
  <si>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</si>
  <si>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</si>
  <si>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</si>
  <si>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</si>
  <si>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</si>
  <si>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</si>
  <si>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</si>
  <si>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</si>
  <si>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</si>
  <si>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</si>
  <si>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</si>
  <si>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</si>
  <si>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</si>
  <si>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</si>
  <si>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</si>
  <si>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</si>
  <si>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</si>
  <si>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</si>
  <si>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</si>
  <si>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</si>
  <si>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</si>
  <si>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</si>
  <si>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</si>
  <si>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</si>
  <si>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</si>
  <si>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</si>
  <si>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</si>
  <si>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</si>
  <si>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</si>
  <si>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</si>
  <si>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</si>
  <si>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</si>
  <si>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</si>
  <si>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</si>
  <si>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</si>
  <si>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</si>
  <si>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</si>
  <si>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</si>
  <si>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</si>
  <si>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</si>
  <si>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</si>
  <si>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</si>
  <si>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</si>
  <si>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</si>
  <si>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</si>
  <si>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</si>
  <si>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</si>
  <si>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</si>
  <si>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</si>
  <si>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</si>
  <si>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</si>
  <si>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</si>
  <si>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</si>
  <si>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</si>
  <si>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</si>
  <si>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</si>
  <si>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</si>
  <si>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</si>
  <si>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</si>
  <si>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</si>
  <si>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</si>
  <si>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</si>
  <si>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</si>
  <si>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</si>
  <si>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</si>
  <si>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</si>
  <si>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</si>
  <si>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</si>
  <si>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</si>
  <si>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</si>
  <si>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</si>
  <si>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</si>
  <si>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</si>
  <si>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</si>
  <si>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</si>
  <si>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</si>
  <si>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</si>
  <si>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</si>
  <si>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</si>
  <si>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</si>
  <si>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</si>
  <si>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</si>
  <si>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</si>
  <si>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</si>
  <si>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</si>
  <si>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</si>
  <si>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</si>
  <si>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</si>
  <si>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</si>
  <si>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</si>
  <si>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</si>
  <si>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</si>
  <si>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</si>
  <si>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</si>
  <si>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</si>
  <si>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</si>
  <si>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</si>
  <si>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</si>
  <si>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</si>
  <si>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</si>
  <si>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</si>
  <si>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</si>
  <si>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</si>
  <si>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</si>
  <si>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</si>
  <si>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</si>
  <si>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</si>
  <si>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</si>
  <si>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</si>
  <si>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</si>
  <si>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</si>
  <si>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</si>
  <si>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</si>
  <si>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</si>
  <si>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</si>
  <si>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</si>
  <si>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</si>
  <si>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</si>
  <si>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</si>
  <si>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</si>
  <si>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</si>
  <si>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</si>
  <si>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</si>
  <si>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</si>
  <si>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</si>
  <si>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</si>
  <si>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</si>
  <si>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</si>
  <si>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</si>
  <si>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</si>
  <si>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</si>
  <si>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</si>
  <si>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</si>
  <si>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</si>
  <si>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</si>
  <si>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</si>
  <si>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</si>
  <si>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</si>
  <si>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</si>
  <si>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</si>
  <si>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</si>
  <si>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</si>
  <si>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</si>
  <si>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</si>
  <si>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</si>
  <si>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</si>
  <si>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</si>
  <si>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</si>
  <si>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</si>
  <si>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</si>
  <si>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</si>
  <si>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</si>
  <si>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</si>
  <si>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</si>
  <si>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</si>
  <si>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</si>
  <si>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</si>
  <si>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</si>
  <si>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</si>
  <si>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</si>
  <si>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</si>
  <si>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</si>
  <si>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</si>
  <si>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</si>
  <si>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</si>
  <si>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</si>
  <si>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</si>
  <si>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</si>
  <si>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</si>
  <si>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</si>
  <si>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</si>
  <si>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</si>
  <si>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</si>
  <si>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</si>
  <si>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</si>
  <si>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</si>
  <si>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</si>
  <si>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</si>
  <si>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</si>
  <si>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</si>
  <si>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</si>
  <si>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</si>
  <si>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</si>
  <si>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</si>
  <si>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</si>
  <si>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</si>
  <si>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</si>
  <si>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</si>
  <si>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</si>
  <si>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</si>
  <si>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</si>
  <si>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</si>
  <si>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</si>
  <si>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</si>
  <si>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</si>
  <si>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</si>
  <si>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</si>
  <si>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</si>
  <si>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</si>
  <si>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</si>
  <si>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</si>
  <si>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</si>
  <si>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</si>
  <si>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</si>
  <si>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</si>
  <si>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</si>
  <si>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</si>
  <si>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</si>
  <si>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</si>
  <si>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</si>
  <si>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</si>
  <si>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</si>
  <si>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</si>
  <si>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</si>
  <si>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</si>
  <si>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</si>
  <si>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</si>
  <si>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</si>
  <si>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</si>
  <si>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</si>
  <si>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</si>
  <si>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</si>
  <si>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</si>
  <si>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</si>
  <si>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</si>
  <si>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</si>
  <si>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</si>
  <si>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</si>
  <si>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</si>
  <si>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</si>
  <si>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</si>
  <si>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</si>
  <si>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</si>
  <si>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</si>
  <si>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</si>
  <si>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</si>
  <si>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</si>
  <si>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</si>
  <si>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</si>
  <si>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</si>
  <si>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</si>
  <si>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</si>
  <si>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</si>
  <si>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</si>
  <si>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</si>
  <si>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</si>
  <si>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</si>
  <si>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</si>
  <si>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</si>
  <si>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</si>
  <si>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</si>
  <si>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</si>
  <si>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</si>
  <si>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</si>
  <si>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</si>
  <si>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</si>
  <si>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</si>
  <si>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</si>
  <si>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</si>
  <si>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</si>
  <si>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</si>
  <si>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</si>
  <si>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</si>
  <si>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</si>
  <si>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</si>
  <si>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</si>
  <si>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</si>
  <si>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</si>
  <si>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</si>
  <si>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</si>
  <si>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</si>
  <si>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</si>
  <si>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</si>
  <si>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</si>
  <si>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</si>
  <si>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</si>
  <si>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</si>
  <si>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</si>
  <si>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</si>
  <si>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</si>
  <si>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</si>
  <si>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</si>
  <si>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</si>
  <si>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</si>
  <si>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</si>
  <si>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</si>
  <si>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</si>
  <si>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</si>
  <si>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</si>
  <si>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</si>
  <si>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</si>
  <si>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</si>
  <si>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</si>
  <si>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</si>
  <si>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</si>
  <si>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</si>
  <si>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</si>
  <si>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</si>
  <si>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</si>
  <si>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</si>
  <si>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</si>
  <si>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</si>
  <si>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</si>
  <si>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</si>
  <si>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</si>
  <si>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</si>
  <si>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</si>
  <si>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</si>
  <si>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</si>
  <si>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</si>
  <si>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</si>
  <si>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</si>
  <si>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</si>
  <si>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</si>
  <si>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</si>
  <si>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</si>
  <si>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</si>
  <si>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</si>
  <si>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</si>
  <si>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</si>
  <si>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</si>
  <si>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</si>
  <si>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</si>
  <si>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</si>
  <si>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</si>
  <si>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</si>
  <si>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</si>
  <si>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</si>
  <si>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</si>
  <si>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</si>
  <si>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</si>
  <si>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</si>
  <si>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</si>
  <si>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</si>
  <si>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</si>
  <si>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</si>
  <si>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</si>
  <si>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</si>
  <si>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</si>
  <si>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</si>
  <si>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</si>
  <si>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</si>
  <si>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</si>
  <si>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</si>
  <si>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</si>
  <si>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</si>
  <si>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</si>
  <si>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</si>
  <si>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</si>
  <si>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</si>
  <si>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</si>
  <si>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</si>
  <si>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</si>
  <si>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</si>
  <si>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</si>
  <si>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</si>
  <si>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</si>
  <si>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</si>
  <si>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</si>
  <si>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</si>
  <si>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</si>
  <si>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</si>
  <si>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</si>
  <si>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</si>
  <si>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</si>
  <si>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</si>
  <si>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</si>
  <si>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</si>
  <si>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</si>
  <si>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</si>
  <si>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</si>
  <si>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</si>
  <si>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</si>
  <si>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</si>
  <si>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</si>
  <si>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</si>
  <si>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</si>
  <si>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</si>
  <si>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</si>
  <si>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</si>
  <si>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</si>
  <si>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</si>
  <si>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</si>
  <si>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</si>
  <si>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</si>
  <si>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</si>
  <si>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</si>
  <si>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</si>
  <si>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</si>
  <si>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</si>
  <si>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</si>
  <si>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</si>
  <si>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</si>
  <si>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</si>
  <si>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</si>
  <si>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</si>
  <si>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</si>
  <si>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</si>
  <si>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</si>
  <si>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</si>
  <si>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</si>
  <si>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</si>
  <si>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</si>
  <si>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</si>
  <si>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</si>
  <si>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</si>
  <si>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</si>
  <si>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</si>
  <si>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</si>
  <si>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</si>
  <si>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</si>
  <si>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</si>
  <si>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</si>
  <si>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</si>
  <si>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</si>
  <si>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</si>
  <si>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</si>
  <si>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</si>
  <si>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</si>
  <si>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</si>
  <si>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</si>
  <si>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</si>
  <si>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</si>
  <si>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</si>
  <si>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</si>
  <si>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</si>
  <si>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</si>
  <si>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</si>
  <si>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</si>
  <si>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</si>
  <si>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</si>
  <si>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</si>
  <si>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</si>
  <si>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</si>
  <si>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</si>
  <si>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</si>
  <si>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</si>
  <si>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</si>
  <si>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</si>
  <si>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</si>
  <si>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</si>
  <si>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</si>
  <si>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</si>
  <si>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</si>
  <si>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</si>
  <si>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</si>
  <si>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</si>
  <si>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</si>
  <si>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</si>
  <si>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</si>
  <si>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</si>
  <si>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</si>
  <si>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</si>
  <si>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</si>
  <si>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</si>
  <si>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</si>
  <si>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</si>
  <si>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</si>
  <si>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</si>
  <si>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</si>
  <si>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</si>
  <si>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</si>
  <si>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</si>
  <si>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</si>
  <si>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</si>
  <si>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</si>
  <si>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</si>
  <si>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</si>
  <si>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</si>
  <si>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</si>
  <si>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</si>
  <si>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</si>
  <si>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</si>
  <si>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</si>
  <si>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</si>
  <si>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</si>
  <si>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</si>
  <si>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</si>
  <si>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</si>
  <si>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</si>
  <si>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</si>
  <si>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</si>
  <si>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</si>
  <si>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</si>
  <si>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</si>
  <si>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</si>
  <si>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</si>
  <si>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</si>
  <si>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</si>
  <si>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</si>
  <si>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</si>
  <si>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</si>
  <si>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</si>
  <si>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</si>
  <si>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</si>
  <si>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</si>
  <si>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</si>
  <si>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</si>
  <si>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</si>
  <si>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</si>
  <si>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</si>
  <si>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</si>
  <si>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</si>
  <si>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</si>
  <si>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</si>
  <si>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</si>
  <si>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</si>
  <si>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</si>
  <si>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</si>
  <si>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</si>
  <si>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</si>
  <si>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</si>
  <si>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</si>
  <si>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</si>
  <si>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</si>
  <si>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</si>
  <si>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</si>
  <si>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</si>
  <si>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</si>
  <si>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</si>
  <si>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</si>
  <si>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</si>
  <si>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</si>
  <si>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</si>
  <si>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</si>
  <si>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</si>
  <si>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</si>
  <si>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</si>
  <si>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</si>
  <si>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</si>
  <si>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</si>
  <si>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</si>
  <si>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</si>
  <si>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</si>
  <si>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</si>
  <si>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</si>
  <si>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</si>
  <si>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</si>
  <si>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</si>
  <si>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</si>
  <si>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</si>
  <si>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</si>
  <si>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</si>
  <si>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</si>
  <si>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</si>
  <si>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</si>
  <si>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</si>
  <si>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</si>
  <si>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</si>
  <si>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</si>
  <si>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</si>
  <si>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</si>
  <si>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</si>
  <si>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</si>
  <si>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</si>
  <si>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</si>
  <si>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</si>
  <si>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</si>
  <si>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</si>
  <si>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</si>
  <si>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</si>
  <si>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</si>
  <si>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</si>
  <si>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</si>
  <si>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</si>
  <si>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</si>
  <si>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</si>
  <si>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</si>
  <si>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</si>
  <si>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</si>
  <si>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</si>
  <si>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</si>
  <si>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</si>
  <si>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</si>
  <si>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</si>
  <si>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</si>
  <si>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</si>
  <si>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</si>
  <si>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</si>
  <si>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</si>
  <si>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</si>
  <si>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</si>
  <si>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</si>
  <si>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</si>
  <si>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</si>
  <si>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</si>
  <si>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</si>
  <si>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</si>
  <si>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</si>
  <si>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</si>
  <si>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</si>
  <si>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</si>
  <si>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</si>
  <si>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</si>
  <si>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</si>
  <si>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</si>
  <si>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</si>
  <si>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</si>
  <si>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</si>
  <si>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</si>
  <si>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</si>
  <si>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</si>
  <si>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</si>
  <si>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</si>
  <si>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</si>
  <si>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</si>
  <si>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</si>
  <si>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</si>
  <si>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</si>
  <si>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</si>
  <si>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</si>
  <si>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</si>
  <si>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</si>
  <si>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</si>
  <si>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</si>
  <si>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</si>
  <si>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</si>
  <si>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</si>
  <si>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</si>
  <si>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</si>
  <si>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</si>
  <si>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</si>
  <si>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</si>
  <si>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</si>
  <si>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</si>
  <si>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</si>
  <si>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</si>
  <si>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</si>
  <si>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</si>
  <si>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</si>
  <si>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</si>
  <si>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</si>
  <si>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</si>
  <si>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</si>
  <si>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</si>
  <si>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</si>
  <si>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</si>
  <si>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</si>
  <si>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</si>
  <si>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</si>
  <si>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</si>
  <si>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</si>
  <si>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</si>
  <si>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</si>
  <si>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</si>
  <si>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</si>
  <si>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</si>
  <si>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</si>
  <si>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</si>
  <si>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</si>
  <si>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</si>
  <si>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</si>
  <si>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</si>
  <si>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</si>
  <si>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</si>
  <si>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</si>
  <si>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</si>
  <si>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</si>
  <si>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</si>
  <si>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</si>
  <si>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</si>
  <si>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</si>
  <si>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</si>
  <si>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</si>
  <si>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</si>
  <si>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</si>
  <si>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</si>
  <si>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</si>
  <si>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</si>
  <si>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</si>
  <si>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</si>
  <si>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</si>
  <si>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</si>
  <si>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</si>
  <si>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</si>
  <si>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</si>
  <si>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</si>
  <si>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</si>
  <si>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</si>
  <si>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</si>
  <si>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</si>
  <si>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</si>
  <si>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</si>
  <si>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</si>
  <si>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</si>
  <si>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</si>
  <si>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</si>
  <si>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</si>
  <si>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</si>
  <si>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</si>
  <si>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</si>
  <si>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</si>
  <si>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</si>
  <si>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</si>
  <si>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</si>
  <si>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</si>
  <si>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</si>
  <si>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</si>
  <si>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</si>
  <si>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</si>
  <si>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</si>
  <si>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</si>
  <si>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</si>
  <si>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</si>
  <si>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</si>
  <si>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</si>
  <si>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</si>
  <si>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</si>
  <si>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</si>
  <si>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</si>
  <si>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</si>
  <si>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</si>
  <si>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</si>
  <si>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</si>
  <si>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</si>
  <si>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</si>
  <si>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</si>
  <si>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</si>
  <si>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</si>
  <si>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</si>
  <si>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</si>
  <si>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</si>
  <si>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</si>
  <si>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</si>
  <si>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</si>
  <si>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</si>
  <si>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</si>
  <si>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</si>
  <si>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</si>
  <si>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</si>
  <si>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</si>
  <si>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</si>
  <si>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</si>
  <si>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</si>
  <si>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</si>
  <si>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</si>
  <si>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</si>
  <si>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</si>
  <si>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</si>
  <si>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</si>
  <si>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</si>
  <si>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</si>
  <si>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</si>
  <si>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</si>
  <si>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</si>
  <si>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</si>
  <si>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</si>
  <si>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</si>
  <si>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</si>
  <si>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</si>
  <si>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</si>
  <si>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</si>
  <si>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</si>
  <si>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</si>
  <si>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</si>
  <si>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</si>
  <si>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</si>
  <si>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</si>
  <si>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</si>
  <si>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</si>
  <si>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</si>
  <si>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</si>
  <si>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</si>
  <si>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</si>
  <si>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</si>
  <si>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</si>
  <si>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</si>
  <si>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</si>
  <si>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</si>
  <si>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</si>
  <si>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</si>
  <si>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</si>
  <si>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</si>
  <si>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</si>
  <si>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</si>
  <si>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</si>
  <si>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</si>
  <si>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</si>
  <si>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</si>
  <si>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</si>
  <si>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</si>
  <si>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</si>
  <si>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</si>
  <si>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</si>
  <si>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</si>
  <si>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</si>
  <si>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</si>
  <si>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</si>
  <si>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</si>
  <si>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</si>
  <si>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</si>
  <si>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</si>
  <si>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</si>
  <si>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</si>
  <si>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</si>
  <si>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</si>
  <si>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</si>
  <si>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</si>
  <si>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</si>
  <si>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</si>
  <si>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</si>
  <si>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</si>
  <si>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</si>
  <si>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</si>
  <si>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</si>
  <si>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</si>
  <si>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</si>
  <si>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</si>
  <si>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</si>
  <si>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</si>
  <si>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</si>
  <si>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</si>
  <si>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</si>
  <si>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</si>
  <si>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</si>
  <si>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</si>
  <si>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</si>
  <si>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</si>
  <si>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</si>
  <si>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</si>
  <si>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</si>
  <si>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</si>
  <si>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</si>
  <si>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</si>
  <si>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</si>
  <si>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</si>
  <si>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</si>
  <si>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</si>
  <si>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</si>
  <si>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</si>
  <si>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</si>
  <si>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</si>
  <si>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</si>
  <si>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</si>
  <si>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</si>
  <si>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</si>
  <si>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</si>
  <si>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</si>
  <si>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</si>
  <si>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</si>
  <si>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</si>
  <si>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</si>
  <si>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</si>
  <si>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</si>
  <si>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</si>
  <si>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</si>
  <si>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</si>
  <si>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</si>
  <si>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</si>
  <si>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</si>
  <si>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</si>
  <si>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</si>
  <si>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</si>
  <si>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</si>
  <si>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</si>
  <si>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</si>
  <si>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</si>
  <si>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</si>
  <si>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</si>
  <si>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</si>
  <si>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</si>
  <si>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</si>
  <si>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</si>
  <si>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</si>
  <si>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</si>
  <si>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</si>
  <si>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</si>
  <si>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</si>
  <si>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</si>
  <si>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</si>
  <si>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</si>
  <si>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</si>
  <si>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</si>
  <si>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</si>
  <si>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</si>
  <si>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</si>
  <si>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</si>
  <si>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</si>
  <si>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</si>
  <si>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</si>
  <si>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</si>
  <si>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</si>
  <si>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</si>
  <si>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</si>
  <si>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</si>
  <si>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</si>
  <si>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</si>
  <si>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</si>
  <si>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</si>
  <si>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</si>
  <si>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</si>
  <si>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</si>
  <si>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</si>
  <si>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</si>
  <si>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</si>
  <si>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</si>
  <si>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</si>
  <si>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</si>
  <si>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</si>
  <si>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</si>
  <si>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</si>
  <si>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</si>
  <si>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</si>
  <si>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</si>
  <si>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</si>
  <si>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</si>
  <si>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</si>
  <si>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</si>
  <si>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</si>
  <si>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</si>
  <si>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</si>
  <si>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</si>
  <si>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</si>
  <si>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</si>
  <si>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</si>
  <si>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</si>
  <si>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</si>
  <si>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</si>
  <si>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</si>
  <si>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</si>
  <si>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</si>
  <si>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</si>
  <si>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</si>
  <si>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</si>
  <si>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</si>
  <si>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</si>
  <si>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</si>
  <si>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</si>
  <si>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</si>
  <si>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</si>
  <si>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</si>
  <si>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</si>
  <si>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</si>
  <si>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</si>
  <si>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</si>
  <si>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</si>
  <si>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</si>
  <si>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</si>
  <si>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</si>
  <si>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</si>
  <si>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</si>
  <si>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</si>
  <si>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</si>
  <si>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</si>
  <si>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</si>
  <si>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</si>
  <si>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</si>
  <si>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</si>
  <si>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</si>
  <si>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</si>
  <si>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</si>
  <si>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</si>
  <si>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</si>
  <si>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</si>
  <si>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</si>
  <si>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</si>
  <si>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</si>
  <si>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</si>
  <si>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</si>
  <si>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</si>
  <si>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</si>
  <si>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</si>
  <si>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</si>
  <si>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</si>
  <si>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</si>
  <si>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</si>
  <si>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</si>
  <si>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</si>
  <si>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</si>
  <si>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</si>
  <si>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</si>
  <si>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</si>
  <si>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</si>
  <si>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</si>
  <si>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</si>
  <si>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</si>
  <si>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</si>
  <si>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</si>
  <si>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</si>
  <si>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</si>
  <si>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</si>
  <si>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</si>
  <si>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</si>
  <si>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</si>
  <si>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</si>
  <si>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</si>
  <si>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</si>
  <si>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</si>
  <si>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</si>
  <si>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</si>
  <si>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</si>
  <si>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</si>
  <si>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</si>
  <si>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</si>
  <si>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</si>
  <si>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</si>
  <si>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</si>
  <si>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</si>
  <si>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</si>
  <si>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</si>
  <si>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</si>
  <si>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</si>
  <si>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</si>
  <si>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</si>
  <si>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</si>
  <si>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športy s lietajúcim diskom - bežné transfery</t>
  </si>
  <si>
    <t>53669967</t>
  </si>
  <si>
    <t>BCD 1, s. r. o.</t>
  </si>
  <si>
    <t>Tomáš Mozola</t>
  </si>
  <si>
    <t>Katarína Boďová</t>
  </si>
  <si>
    <t>CP25051</t>
  </si>
  <si>
    <t>CP25043</t>
  </si>
  <si>
    <t>25DF00047</t>
  </si>
  <si>
    <t>CP25053</t>
  </si>
  <si>
    <t>CP25054</t>
  </si>
  <si>
    <t>CP25052-časť (suma spolu 5412.35)</t>
  </si>
  <si>
    <t>Int0027</t>
  </si>
  <si>
    <t>25DF00049</t>
  </si>
  <si>
    <t>25DF00054</t>
  </si>
  <si>
    <t>25DF00050</t>
  </si>
  <si>
    <t>25DF00052</t>
  </si>
  <si>
    <t>CPK25009</t>
  </si>
  <si>
    <t>CPK25008</t>
  </si>
  <si>
    <t>25DF00042 (suma spolu 1107)</t>
  </si>
  <si>
    <t>5.9.2025</t>
  </si>
  <si>
    <t>Prenájom kurtov - WBUC 2025</t>
  </si>
  <si>
    <t>8.9.2025</t>
  </si>
  <si>
    <t>10.9.2025</t>
  </si>
  <si>
    <t>16.9.2025</t>
  </si>
  <si>
    <t>Cestovné - PDA Worlds - Nokia/Tampere 2025</t>
  </si>
  <si>
    <t>17.9.2025</t>
  </si>
  <si>
    <t>18.9.2025</t>
  </si>
  <si>
    <t>Cestovné - EDGF, DGPT PCS Open / Krokhol Open / DG Festival</t>
  </si>
  <si>
    <t>23.9.2025</t>
  </si>
  <si>
    <t>24.9.2025</t>
  </si>
  <si>
    <t>29.9.2025</t>
  </si>
  <si>
    <t>6.10.2025</t>
  </si>
  <si>
    <t>9.10.2025</t>
  </si>
  <si>
    <t>14.10.2025</t>
  </si>
  <si>
    <t>16.10.2025</t>
  </si>
  <si>
    <t>21.10.2025</t>
  </si>
  <si>
    <t>22.10.2025</t>
  </si>
  <si>
    <t>23.10.2025</t>
  </si>
  <si>
    <t>27.10.2025</t>
  </si>
  <si>
    <t>28.10.2025</t>
  </si>
  <si>
    <t>29.10.2025</t>
  </si>
  <si>
    <t>3.11.2025</t>
  </si>
  <si>
    <t>Cestovné - Mistrovství ČR 2025 v Moravském Krumlově</t>
  </si>
  <si>
    <t>Samuel Kśiňan</t>
  </si>
  <si>
    <t>Masérske služby - Európske majstrovstvá juniorov 3.-9.8.2025</t>
  </si>
  <si>
    <t>DANEK FYZIO s.r.o.</t>
  </si>
  <si>
    <t>52 846 067</t>
  </si>
  <si>
    <t>Cestovné - EDGF European Masters Disc Golf Championship 2025</t>
  </si>
  <si>
    <t>Refundácia - letenky US Open 2025</t>
  </si>
  <si>
    <t>14.7.2025</t>
  </si>
  <si>
    <t>Martina Kmecová</t>
  </si>
  <si>
    <t>Rekreačné služby mesta Senica, spol. s r.o.</t>
  </si>
  <si>
    <t>Prenájom areálu - FŠ Čáčov podujatia MSR-O a MSR-W</t>
  </si>
  <si>
    <t>ACADEMIC Žilinská univerzita v Žiline</t>
  </si>
  <si>
    <t>42060036</t>
  </si>
  <si>
    <t>Prenájom ihriska - Žilinská jednodňovka frisbee 10.5.2025</t>
  </si>
  <si>
    <t>Športový klub KEFEAR</t>
  </si>
  <si>
    <t>Mimoškolská vzdelávacia činnosť - propagácia športu ultimate frisbee v regióne
Košice a Prešov</t>
  </si>
  <si>
    <t>GREPO - samoobslužné sklady</t>
  </si>
  <si>
    <t>51291169</t>
  </si>
  <si>
    <t>Prenájom - sklad A046 na rok 2025</t>
  </si>
  <si>
    <t>Cestovné - kontrolórka SAF</t>
  </si>
  <si>
    <t>Katarína Vilhanová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</si>
</sst>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89"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1">
    <cellStyle name="Hyperlink" xfId="1" xr:uid="{9071B3F3-28FC-4CD1-B549-875C62B14CA2}"/>
    <cellStyle name="Hypertextové prepojenie 2" xfId="2" xr:uid="{D5F57455-7D66-47F9-BEF0-3128CE897D4B}"/>
    <cellStyle name="Normal" xfId="0" builtinId="0"/>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88" val="8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6" t="s">
        <v>0</v>
      </c>
      <c r="C1" s="328"/>
      <c r="D1" s="328"/>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1675</v>
      </c>
      <c r="C6" s="205"/>
      <c r="D6" s="205"/>
    </row>
    <row r="7" spans="1:4" s="18" customFormat="1" ht="15" customHeight="1" x14ac:dyDescent="0.25">
      <c r="A7" s="294" t="s">
        <v>4</v>
      </c>
      <c r="C7" s="205"/>
      <c r="D7" s="205"/>
    </row>
    <row r="8" spans="1:4" s="18" customFormat="1" ht="15" customHeight="1" x14ac:dyDescent="0.25">
      <c r="A8" s="269" t="s">
        <v>1330</v>
      </c>
      <c r="C8" s="205"/>
      <c r="D8" s="205"/>
    </row>
    <row r="9" spans="1:4" s="18" customFormat="1" ht="15" customHeight="1" x14ac:dyDescent="0.25">
      <c r="A9" s="269" t="s">
        <v>1331</v>
      </c>
      <c r="C9" s="205"/>
      <c r="D9" s="205"/>
    </row>
    <row r="10" spans="1:4" s="18" customFormat="1" ht="15.75" customHeight="1" x14ac:dyDescent="0.25">
      <c r="A10" s="294" t="s">
        <v>1332</v>
      </c>
      <c r="C10" s="205"/>
      <c r="D10" s="205"/>
    </row>
    <row r="11" spans="1:4" s="18" customFormat="1" ht="42.75" customHeight="1" x14ac:dyDescent="0.25">
      <c r="A11" s="294" t="s">
        <v>1333</v>
      </c>
      <c r="C11" s="205"/>
      <c r="D11" s="205"/>
    </row>
    <row r="12" spans="1:4" s="18" customFormat="1" ht="20.399999999999999" customHeight="1" x14ac:dyDescent="0.25">
      <c r="A12" s="302" t="s">
        <v>1352</v>
      </c>
      <c r="C12" s="205"/>
      <c r="D12" s="205"/>
    </row>
    <row r="13" spans="1:4" s="18" customFormat="1" ht="23.4" customHeight="1" x14ac:dyDescent="0.25">
      <c r="A13" s="307"/>
      <c r="C13" s="205"/>
      <c r="D13" s="205"/>
    </row>
    <row r="14" spans="1:4" s="18" customFormat="1" ht="17.399999999999999" x14ac:dyDescent="0.25">
      <c r="A14" s="308" t="s">
        <v>5</v>
      </c>
      <c r="C14" s="205"/>
      <c r="D14" s="205"/>
    </row>
    <row r="15" spans="1:4" ht="16.2" customHeight="1" x14ac:dyDescent="0.25">
      <c r="A15" s="127"/>
      <c r="C15" s="21"/>
    </row>
    <row r="16" spans="1:4" ht="316.8" x14ac:dyDescent="0.25">
      <c r="A16" s="296" t="s">
        <v>6</v>
      </c>
      <c r="C16" s="21"/>
    </row>
    <row r="17" spans="1:4" ht="17.399999999999999" customHeight="1" x14ac:dyDescent="0.25">
      <c r="A17" s="21"/>
      <c r="C17" s="21"/>
    </row>
    <row r="18" spans="1:4" ht="205.05" customHeight="1" x14ac:dyDescent="0.25">
      <c r="A18" s="296" t="s">
        <v>7</v>
      </c>
      <c r="B18" s="257"/>
      <c r="C18" s="21"/>
    </row>
    <row r="19" spans="1:4" ht="30.6" customHeight="1" x14ac:dyDescent="0.25">
      <c r="A19" s="21"/>
      <c r="B19" s="257"/>
      <c r="C19" s="21"/>
    </row>
    <row r="20" spans="1:4" ht="26.25" customHeight="1" x14ac:dyDescent="0.25">
      <c r="A20" s="297" t="s">
        <v>8</v>
      </c>
      <c r="C20" s="21"/>
    </row>
    <row r="21" spans="1:4" ht="39.6" x14ac:dyDescent="0.25">
      <c r="A21" s="19" t="s">
        <v>9</v>
      </c>
      <c r="C21" s="329"/>
      <c r="D21" s="329"/>
    </row>
    <row r="22" spans="1:4" x14ac:dyDescent="0.25">
      <c r="C22" s="330"/>
      <c r="D22" s="329"/>
    </row>
    <row r="23" spans="1:4" ht="66" x14ac:dyDescent="0.25">
      <c r="A23" s="23" t="s">
        <v>1353</v>
      </c>
      <c r="C23" s="255"/>
      <c r="D23" s="256"/>
    </row>
    <row r="24" spans="1:4" ht="12.75" customHeight="1" x14ac:dyDescent="0.25">
      <c r="C24" s="326"/>
      <c r="D24" s="327"/>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1334</v>
      </c>
    </row>
    <row r="32" spans="1:4" ht="12.6" customHeight="1" x14ac:dyDescent="0.25"/>
    <row r="33" spans="1:3" ht="15.75" customHeight="1" x14ac:dyDescent="0.25">
      <c r="A33" s="19" t="s">
        <v>1335</v>
      </c>
    </row>
    <row r="34" spans="1:3" ht="12.6" customHeight="1" x14ac:dyDescent="0.25"/>
    <row r="35" spans="1:3" ht="52.8" x14ac:dyDescent="0.25">
      <c r="A35" s="19" t="s">
        <v>1337</v>
      </c>
    </row>
    <row r="36" spans="1:3" ht="12" customHeight="1" x14ac:dyDescent="0.25"/>
    <row r="37" spans="1:3" ht="26.4" x14ac:dyDescent="0.25">
      <c r="A37" s="271" t="s">
        <v>1336</v>
      </c>
    </row>
    <row r="39" spans="1:3" ht="79.2" x14ac:dyDescent="0.25">
      <c r="A39" s="23" t="s">
        <v>1338</v>
      </c>
    </row>
    <row r="40" spans="1:3" ht="12.75" customHeight="1" x14ac:dyDescent="0.25"/>
    <row r="41" spans="1:3" ht="26.4" x14ac:dyDescent="0.25">
      <c r="A41" s="19" t="s">
        <v>13</v>
      </c>
    </row>
    <row r="42" spans="1:3" ht="12.75" customHeight="1" x14ac:dyDescent="0.25"/>
    <row r="43" spans="1:3" ht="81.75" customHeight="1" x14ac:dyDescent="0.25">
      <c r="A43" s="292" t="s">
        <v>14</v>
      </c>
      <c r="C43" s="22"/>
    </row>
    <row r="44" spans="1:3" ht="64.5" customHeight="1" x14ac:dyDescent="0.25">
      <c r="A44" s="298" t="s">
        <v>1339</v>
      </c>
      <c r="C44" s="22"/>
    </row>
    <row r="45" spans="1:3" ht="12.75" customHeight="1" x14ac:dyDescent="0.25">
      <c r="A45" s="291"/>
      <c r="C45" s="22"/>
    </row>
    <row r="46" spans="1:3" ht="41.4" customHeight="1" x14ac:dyDescent="0.25">
      <c r="A46" s="299" t="s">
        <v>15</v>
      </c>
      <c r="C46" s="22"/>
    </row>
    <row r="47" spans="1:3" ht="11.4" customHeight="1" x14ac:dyDescent="0.25"/>
    <row r="48" spans="1:3" x14ac:dyDescent="0.25">
      <c r="A48" s="300" t="s">
        <v>1340</v>
      </c>
    </row>
    <row r="49" spans="1:1" ht="12" customHeight="1" x14ac:dyDescent="0.25"/>
    <row r="50" spans="1:1" ht="39.6" x14ac:dyDescent="0.25">
      <c r="A50" s="19" t="s">
        <v>1341</v>
      </c>
    </row>
    <row r="51" spans="1:1" ht="12.75" customHeight="1" x14ac:dyDescent="0.25"/>
    <row r="52" spans="1:1" ht="79.2" x14ac:dyDescent="0.25">
      <c r="A52" s="19" t="s">
        <v>1342</v>
      </c>
    </row>
    <row r="53" spans="1:1" ht="12.75" customHeight="1" x14ac:dyDescent="0.25"/>
    <row r="54" spans="1:1" ht="39.6" x14ac:dyDescent="0.25">
      <c r="A54" s="19" t="s">
        <v>1343</v>
      </c>
    </row>
    <row r="56" spans="1:1" x14ac:dyDescent="0.25">
      <c r="A56" s="19" t="s">
        <v>16</v>
      </c>
    </row>
    <row r="58" spans="1:1" x14ac:dyDescent="0.25">
      <c r="A58" s="19" t="s">
        <v>17</v>
      </c>
    </row>
    <row r="60" spans="1:1" ht="121.8" customHeight="1" x14ac:dyDescent="0.25">
      <c r="A60" s="23" t="s">
        <v>1344</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1345</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9" t="s">
        <v>1363</v>
      </c>
    </row>
    <row r="73" spans="1:1" ht="39.6" x14ac:dyDescent="0.25">
      <c r="A73" s="23" t="s">
        <v>1364</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3"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1354</v>
      </c>
    </row>
    <row r="96" spans="1:2" x14ac:dyDescent="0.25">
      <c r="A96" s="23"/>
    </row>
    <row r="97" spans="1:4" x14ac:dyDescent="0.25">
      <c r="A97" s="260" t="s">
        <v>40</v>
      </c>
    </row>
    <row r="98" spans="1:4" ht="68.400000000000006" customHeight="1" x14ac:dyDescent="0.25">
      <c r="A98" s="23" t="s">
        <v>1355</v>
      </c>
    </row>
    <row r="99" spans="1:4" x14ac:dyDescent="0.25">
      <c r="A99" s="23"/>
    </row>
    <row r="100" spans="1:4" x14ac:dyDescent="0.25">
      <c r="A100" s="260" t="s">
        <v>41</v>
      </c>
    </row>
    <row r="101" spans="1:4" ht="79.2" x14ac:dyDescent="0.25">
      <c r="A101" s="23" t="s">
        <v>1356</v>
      </c>
    </row>
    <row r="102" spans="1:4" x14ac:dyDescent="0.25">
      <c r="A102" s="23"/>
    </row>
    <row r="103" spans="1:4" x14ac:dyDescent="0.25">
      <c r="A103" s="295" t="s">
        <v>42</v>
      </c>
    </row>
    <row r="104" spans="1:4" ht="52.8" x14ac:dyDescent="0.25">
      <c r="A104" s="23" t="s">
        <v>1357</v>
      </c>
    </row>
    <row r="105" spans="1:4" x14ac:dyDescent="0.25">
      <c r="A105" s="23"/>
      <c r="B105" s="20" t="s">
        <v>43</v>
      </c>
    </row>
    <row r="106" spans="1:4" x14ac:dyDescent="0.25">
      <c r="A106" s="260" t="s">
        <v>44</v>
      </c>
    </row>
    <row r="107" spans="1:4" ht="71.25" customHeight="1" x14ac:dyDescent="0.25">
      <c r="A107" s="19" t="s">
        <v>1358</v>
      </c>
    </row>
    <row r="108" spans="1:4" ht="39.6" x14ac:dyDescent="0.25">
      <c r="A108" s="19" t="s">
        <v>1348</v>
      </c>
    </row>
    <row r="109" spans="1:4" ht="26.4" x14ac:dyDescent="0.25">
      <c r="A109" s="19" t="s">
        <v>45</v>
      </c>
    </row>
    <row r="110" spans="1:4" ht="10.5" customHeight="1" x14ac:dyDescent="0.25">
      <c r="D110" s="20" t="s">
        <v>43</v>
      </c>
    </row>
    <row r="111" spans="1:4" ht="99.75" customHeight="1" x14ac:dyDescent="0.25">
      <c r="A111" s="23" t="s">
        <v>1347</v>
      </c>
    </row>
    <row r="112" spans="1:4" ht="26.4" x14ac:dyDescent="0.25">
      <c r="A112" s="19" t="s">
        <v>1346</v>
      </c>
    </row>
    <row r="114" spans="1:2" ht="184.8" x14ac:dyDescent="0.25">
      <c r="A114" s="23" t="s">
        <v>1359</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1360</v>
      </c>
    </row>
    <row r="128" spans="1:2" ht="12.75" customHeight="1" x14ac:dyDescent="0.25">
      <c r="A128" s="305" t="s">
        <v>23</v>
      </c>
    </row>
    <row r="129" spans="1:1" ht="15.75" customHeight="1" x14ac:dyDescent="0.25">
      <c r="A129" s="304" t="s">
        <v>55</v>
      </c>
    </row>
    <row r="130" spans="1:1" ht="12.75" customHeight="1" x14ac:dyDescent="0.25">
      <c r="A130" s="23"/>
    </row>
    <row r="131" spans="1:1" x14ac:dyDescent="0.25">
      <c r="A131" s="295" t="s">
        <v>56</v>
      </c>
    </row>
    <row r="132" spans="1:1" ht="40.799999999999997" customHeight="1" x14ac:dyDescent="0.25">
      <c r="A132" s="23" t="s">
        <v>1349</v>
      </c>
    </row>
    <row r="133" spans="1:1" ht="61.5" customHeight="1" x14ac:dyDescent="0.25">
      <c r="A133" s="301" t="s">
        <v>1361</v>
      </c>
    </row>
    <row r="134" spans="1:1" x14ac:dyDescent="0.25">
      <c r="A134" s="260" t="s">
        <v>1362</v>
      </c>
    </row>
    <row r="135" spans="1:1" ht="105.6" x14ac:dyDescent="0.25">
      <c r="A135" s="301" t="s">
        <v>1350</v>
      </c>
    </row>
    <row r="136" spans="1:1" x14ac:dyDescent="0.25">
      <c r="A136"/>
    </row>
    <row r="137" spans="1:1" ht="71.55" customHeight="1" x14ac:dyDescent="0.25">
      <c r="A137" s="300" t="s">
        <v>1351</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0" t="str">
        <f>Spolu!C3&amp;", "&amp;Spolu!C6</f>
        <v>Slovenská asociácia Frisbee, Malženice 511, Malženice, 919 29</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1254</v>
      </c>
      <c r="E6" s="140" t="s">
        <v>1255</v>
      </c>
      <c r="F6" s="149"/>
      <c r="N6" s="137" t="str">
        <f t="shared" si="0"/>
        <v>f - plnenie úloh verejného záujmu v športe</v>
      </c>
      <c r="O6" s="137" t="s">
        <v>349</v>
      </c>
      <c r="P6" s="137" t="str">
        <f>Spolu!B22</f>
        <v>plnenie úloh verejného záujmu v športe</v>
      </c>
    </row>
    <row r="7" spans="1:16" x14ac:dyDescent="0.2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35" customHeight="1" x14ac:dyDescent="0.25">
      <c r="A14" s="139" t="s">
        <v>1267</v>
      </c>
      <c r="B14" s="385" t="s">
        <v>1285</v>
      </c>
      <c r="C14" s="386"/>
      <c r="F14" s="311"/>
      <c r="N14" s="137" t="str">
        <f t="shared" si="0"/>
        <v xml:space="preserve">n - </v>
      </c>
      <c r="O14" s="137" t="s">
        <v>364</v>
      </c>
    </row>
    <row r="15" spans="1:16" ht="34.35" customHeight="1" x14ac:dyDescent="0.25">
      <c r="A15" s="139" t="s">
        <v>1286</v>
      </c>
      <c r="B15" s="385"/>
      <c r="C15" s="386"/>
      <c r="F15" s="388"/>
      <c r="N15" s="137" t="str">
        <f t="shared" si="0"/>
        <v xml:space="preserve">o - </v>
      </c>
      <c r="O15" s="137" t="s">
        <v>365</v>
      </c>
    </row>
    <row r="16" spans="1:16" x14ac:dyDescent="0.25">
      <c r="A16" s="139" t="s">
        <v>1270</v>
      </c>
      <c r="B16" s="142">
        <f>F8</f>
        <v>0</v>
      </c>
      <c r="C16" s="137"/>
      <c r="F16" s="388"/>
      <c r="N16" s="137" t="str">
        <f t="shared" si="0"/>
        <v xml:space="preserve">p - </v>
      </c>
      <c r="O16" s="137" t="s">
        <v>366</v>
      </c>
    </row>
    <row r="17" spans="1:16" ht="32.1" customHeight="1" x14ac:dyDescent="0.25">
      <c r="A17" s="139" t="s">
        <v>1273</v>
      </c>
      <c r="B17" s="142">
        <f>F9</f>
        <v>0</v>
      </c>
      <c r="C17" s="137"/>
      <c r="F17" s="388"/>
      <c r="N17" s="137" t="str">
        <f t="shared" si="0"/>
        <v xml:space="preserve">q - </v>
      </c>
      <c r="O17" s="137" t="s">
        <v>367</v>
      </c>
    </row>
    <row r="18" spans="1:16" ht="15.6" thickBot="1" x14ac:dyDescent="0.3">
      <c r="B18" s="193" t="s">
        <v>1287</v>
      </c>
      <c r="C18" s="194">
        <v>31</v>
      </c>
      <c r="N18" s="137" t="str">
        <f t="shared" si="0"/>
        <v xml:space="preserve">r - </v>
      </c>
      <c r="O18" s="137" t="s">
        <v>368</v>
      </c>
    </row>
    <row r="19" spans="1:16" x14ac:dyDescent="0.25">
      <c r="B19" s="193" t="s">
        <v>1275</v>
      </c>
      <c r="C19" s="142" t="str">
        <f>Spolu!C4</f>
        <v>31749852</v>
      </c>
      <c r="F19" s="145" t="s">
        <v>1271</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1276</v>
      </c>
      <c r="G21" s="284">
        <v>421947749446</v>
      </c>
      <c r="H21" s="148"/>
      <c r="N21" s="137" t="str">
        <f>O21&amp;" - "&amp;P21</f>
        <v>026 01 - Šport pre všetkých, školský a univerzitný šport</v>
      </c>
      <c r="O21" s="137" t="s">
        <v>317</v>
      </c>
      <c r="P21" s="137" t="s">
        <v>318</v>
      </c>
    </row>
    <row r="22" spans="1:16" x14ac:dyDescent="0.25">
      <c r="A22" s="137"/>
      <c r="B22" s="137"/>
      <c r="F22" s="147" t="s">
        <v>1277</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1278</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1288</v>
      </c>
    </row>
    <row r="28" spans="1:16" x14ac:dyDescent="0.2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1290</v>
      </c>
    </row>
    <row r="2" spans="1:2" ht="30" customHeight="1" x14ac:dyDescent="0.25">
      <c r="A2" s="389" t="s">
        <v>1291</v>
      </c>
      <c r="B2" s="389"/>
    </row>
    <row r="3" spans="1:2" x14ac:dyDescent="0.25">
      <c r="A3" s="61" t="s">
        <v>1292</v>
      </c>
      <c r="B3" s="61" t="s">
        <v>1293</v>
      </c>
    </row>
    <row r="4" spans="1:2" x14ac:dyDescent="0.25">
      <c r="A4" s="62" t="s">
        <v>1294</v>
      </c>
      <c r="B4" s="62" t="s">
        <v>1295</v>
      </c>
    </row>
    <row r="5" spans="1:2" x14ac:dyDescent="0.25">
      <c r="A5" s="62" t="s">
        <v>1296</v>
      </c>
      <c r="B5" s="62" t="s">
        <v>1297</v>
      </c>
    </row>
    <row r="6" spans="1:2" x14ac:dyDescent="0.25">
      <c r="A6" s="62" t="s">
        <v>1298</v>
      </c>
      <c r="B6" s="62" t="s">
        <v>1299</v>
      </c>
    </row>
    <row r="7" spans="1:2" x14ac:dyDescent="0.25">
      <c r="A7" s="62" t="s">
        <v>1300</v>
      </c>
      <c r="B7" s="62" t="s">
        <v>1301</v>
      </c>
    </row>
    <row r="8" spans="1:2" x14ac:dyDescent="0.25">
      <c r="A8" s="62" t="s">
        <v>1302</v>
      </c>
      <c r="B8" s="62" t="s">
        <v>1303</v>
      </c>
    </row>
    <row r="9" spans="1:2" x14ac:dyDescent="0.25">
      <c r="A9" s="62" t="s">
        <v>1304</v>
      </c>
      <c r="B9" s="62" t="s">
        <v>1305</v>
      </c>
    </row>
    <row r="10" spans="1:2" x14ac:dyDescent="0.25">
      <c r="A10" s="62" t="s">
        <v>1306</v>
      </c>
      <c r="B10" s="62" t="s">
        <v>1307</v>
      </c>
    </row>
    <row r="11" spans="1:2" x14ac:dyDescent="0.25">
      <c r="A11" s="62" t="s">
        <v>1308</v>
      </c>
      <c r="B11" s="62" t="s">
        <v>1309</v>
      </c>
    </row>
    <row r="12" spans="1:2" x14ac:dyDescent="0.25">
      <c r="A12" s="62" t="s">
        <v>1310</v>
      </c>
      <c r="B12" s="62" t="s">
        <v>1311</v>
      </c>
    </row>
    <row r="13" spans="1:2" x14ac:dyDescent="0.25">
      <c r="A13" s="62" t="s">
        <v>1312</v>
      </c>
      <c r="B13" s="62" t="s">
        <v>1313</v>
      </c>
    </row>
    <row r="14" spans="1:2" x14ac:dyDescent="0.25">
      <c r="A14" s="62" t="s">
        <v>1314</v>
      </c>
      <c r="B14" s="62" t="s">
        <v>1315</v>
      </c>
    </row>
    <row r="15" spans="1:2" x14ac:dyDescent="0.25">
      <c r="A15" s="62" t="s">
        <v>1316</v>
      </c>
      <c r="B15" s="62" t="s">
        <v>1317</v>
      </c>
    </row>
    <row r="16" spans="1:2" x14ac:dyDescent="0.25">
      <c r="A16" s="62" t="s">
        <v>1318</v>
      </c>
      <c r="B16" s="62" t="s">
        <v>1319</v>
      </c>
    </row>
    <row r="17" spans="1:2" x14ac:dyDescent="0.25">
      <c r="A17" s="62" t="s">
        <v>1320</v>
      </c>
      <c r="B17" s="62" t="s">
        <v>1321</v>
      </c>
    </row>
    <row r="18" spans="1:2" x14ac:dyDescent="0.25">
      <c r="A18" s="62" t="s">
        <v>1322</v>
      </c>
      <c r="B18" s="62" t="s">
        <v>1323</v>
      </c>
    </row>
    <row r="19" spans="1:2" x14ac:dyDescent="0.25">
      <c r="A19" s="62" t="s">
        <v>1324</v>
      </c>
      <c r="B19" s="62" t="s">
        <v>1325</v>
      </c>
    </row>
    <row r="20" spans="1:2" x14ac:dyDescent="0.25">
      <c r="A20" s="62" t="s">
        <v>1326</v>
      </c>
      <c r="B20" s="62" t="s">
        <v>1327</v>
      </c>
    </row>
    <row r="21" spans="1:2" x14ac:dyDescent="0.25">
      <c r="A21" s="62" t="s">
        <v>1328</v>
      </c>
      <c r="B21" s="62" t="s">
        <v>1329</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1" t="s">
        <v>57</v>
      </c>
      <c r="B1" s="331"/>
      <c r="C1" s="331"/>
      <c r="D1" s="331"/>
      <c r="E1" s="331"/>
      <c r="F1" s="331"/>
      <c r="G1" s="331"/>
      <c r="H1" s="331"/>
      <c r="I1" s="52"/>
      <c r="J1" s="37"/>
    </row>
    <row r="2" spans="1:11" ht="15.6" x14ac:dyDescent="0.3">
      <c r="A2" s="337" t="s">
        <v>58</v>
      </c>
      <c r="B2" s="337"/>
      <c r="C2" s="337"/>
      <c r="D2" s="337"/>
      <c r="E2" s="337"/>
      <c r="F2" s="337"/>
      <c r="G2" s="337"/>
      <c r="H2" s="335" t="str">
        <f>+Doklady!I100</f>
        <v>V4</v>
      </c>
      <c r="I2" s="335"/>
    </row>
    <row r="3" spans="1:11" ht="13.8" x14ac:dyDescent="0.25">
      <c r="A3" s="40"/>
      <c r="B3" s="40"/>
      <c r="C3" s="40"/>
      <c r="D3" s="40"/>
      <c r="E3" s="40"/>
      <c r="F3" s="40"/>
      <c r="G3" s="40"/>
      <c r="H3" s="336">
        <f>+Doklady!I101</f>
        <v>45961</v>
      </c>
      <c r="I3" s="336"/>
    </row>
    <row r="4" spans="1:11" ht="15.75" customHeight="1" x14ac:dyDescent="0.25">
      <c r="A4" s="41" t="s">
        <v>59</v>
      </c>
      <c r="B4" s="332" t="s">
        <v>60</v>
      </c>
      <c r="C4" s="333"/>
      <c r="D4" s="333"/>
      <c r="E4" s="334"/>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0" t="s">
        <v>311</v>
      </c>
      <c r="B1" s="341"/>
      <c r="C1" s="174">
        <v>45688</v>
      </c>
      <c r="D1" s="26"/>
      <c r="G1" s="252">
        <v>45688</v>
      </c>
    </row>
    <row r="2" spans="1:7" ht="13.8" x14ac:dyDescent="0.25">
      <c r="A2" s="28"/>
      <c r="B2" s="28"/>
      <c r="G2" s="252">
        <v>45716</v>
      </c>
    </row>
    <row r="3" spans="1:7" ht="13.8" x14ac:dyDescent="0.25">
      <c r="A3" s="30" t="s">
        <v>312</v>
      </c>
      <c r="B3" s="338" t="str">
        <f>INDEX(Adr!B:B,Doklady!B102+1)</f>
        <v>Slovenská asociácia Frisbee</v>
      </c>
      <c r="C3" s="338"/>
      <c r="D3" s="338"/>
      <c r="G3" s="252">
        <v>45747</v>
      </c>
    </row>
    <row r="4" spans="1:7" ht="13.8" x14ac:dyDescent="0.25">
      <c r="A4" s="30" t="s">
        <v>313</v>
      </c>
      <c r="B4" s="29" t="str">
        <f>RIGHT("0000"&amp;INDEX(Adr!A:A,Doklady!B102+1),8)</f>
        <v>31749852</v>
      </c>
      <c r="G4" s="252">
        <v>45777</v>
      </c>
    </row>
    <row r="5" spans="1:7" ht="13.8" x14ac:dyDescent="0.25">
      <c r="A5" s="30" t="s">
        <v>314</v>
      </c>
      <c r="B5" s="29" t="str">
        <f>INDEX(Adr!D:D,Doklady!B102+1)&amp;", "&amp;INDEX(Adr!E:E,Doklady!B102+1)</f>
        <v>Malženice 511, Malženice</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69132</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69132</v>
      </c>
      <c r="G15" s="252"/>
    </row>
    <row r="16" spans="1:7" ht="13.8" x14ac:dyDescent="0.25">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61" t="s">
        <v>329</v>
      </c>
      <c r="B1" s="361"/>
      <c r="C1" s="361"/>
      <c r="D1" s="361"/>
      <c r="E1" s="361"/>
      <c r="F1" s="361"/>
      <c r="G1" s="361"/>
      <c r="H1" s="361"/>
      <c r="I1" s="361"/>
    </row>
    <row r="2" spans="1:26" ht="7.5" customHeight="1" x14ac:dyDescent="0.2">
      <c r="C2" s="8"/>
      <c r="D2" s="8"/>
      <c r="E2" s="8"/>
      <c r="F2" s="8"/>
      <c r="G2" s="8"/>
      <c r="H2" s="8"/>
      <c r="I2" s="8"/>
    </row>
    <row r="3" spans="1:26" s="9" customFormat="1" ht="26.1" customHeight="1" x14ac:dyDescent="0.25">
      <c r="B3" s="160" t="s">
        <v>59</v>
      </c>
      <c r="C3" s="362" t="str">
        <f>INDEX(Adr!B2:B244,Doklady!B102)</f>
        <v>Slovenská asociácia Frisbee</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INDEX(Adr!A2:A244,Doklady!B102)</f>
        <v>31749852</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INDEX(Adr!D2:D244,Doklady!B102)&amp;", "&amp;INDEX(Adr!E2:E244,Doklady!B102)&amp;", "&amp;INDEX(Adr!F2:F244,Doklady!B102)</f>
        <v>Malženice 511, Malženice, 919 29</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57">
        <f>SUMIF(K:K,A10,I:I)</f>
        <v>0</v>
      </c>
      <c r="F10" s="358"/>
      <c r="L10" s="120" t="s">
        <v>335</v>
      </c>
      <c r="M10" s="118"/>
      <c r="N10" s="118"/>
      <c r="O10" s="118"/>
      <c r="P10" s="118"/>
      <c r="Q10" s="118"/>
      <c r="R10" s="118"/>
      <c r="S10" s="118"/>
    </row>
    <row r="11" spans="1:26" ht="17.399999999999999" x14ac:dyDescent="0.3">
      <c r="A11" s="69" t="s">
        <v>319</v>
      </c>
      <c r="B11" s="70" t="s">
        <v>320</v>
      </c>
      <c r="C11" s="126">
        <f>SUMIF(FP!J:J,Doklady!$B$1&amp;A11,FP!D:D)</f>
        <v>69132</v>
      </c>
      <c r="D11" s="126">
        <f>+C11-E11</f>
        <v>30769.29</v>
      </c>
      <c r="E11" s="365">
        <f>+I39-I42+I44-I47</f>
        <v>38362.71</v>
      </c>
      <c r="F11" s="366"/>
      <c r="J11" s="176"/>
      <c r="L11" s="161" t="str">
        <f>L41</f>
        <v>a - športy s lietajúcim diskom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57">
        <f>SUMIF(K:K,A12,I:I)</f>
        <v>0</v>
      </c>
      <c r="F12" s="358"/>
      <c r="J12" s="177"/>
      <c r="L12" s="161" t="str">
        <f>L42</f>
        <v>a - športy s lietajúcim diskom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69132</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2236</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2990</v>
      </c>
      <c r="C28" s="347"/>
      <c r="D28" s="347"/>
      <c r="E28" s="347"/>
      <c r="F28" s="347"/>
      <c r="G28" s="347"/>
      <c r="H28" s="348"/>
      <c r="I28" s="73">
        <f>SUMIF(FP!I:I,Doklady!$B$1&amp;A28,FP!D:D)</f>
        <v>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športy s lietajúcim diskom</v>
      </c>
      <c r="C38" s="68" t="s">
        <v>1672</v>
      </c>
      <c r="D38" s="68" t="s">
        <v>1673</v>
      </c>
      <c r="E38" s="68" t="s">
        <v>1674</v>
      </c>
      <c r="F38" s="68" t="s">
        <v>1671</v>
      </c>
      <c r="G38" s="68" t="s">
        <v>370</v>
      </c>
      <c r="H38" s="68" t="s">
        <v>371</v>
      </c>
      <c r="I38" s="67" t="s">
        <v>327</v>
      </c>
      <c r="L38" s="84">
        <f>COUNTIF(FP!N:N,Doklady!B1&amp;"aB")</f>
        <v>1</v>
      </c>
    </row>
    <row r="39" spans="1:21" x14ac:dyDescent="0.2">
      <c r="A39" s="115" t="s">
        <v>339</v>
      </c>
      <c r="B39" s="116" t="s">
        <v>372</v>
      </c>
      <c r="C39" s="78">
        <f>I39*0.2</f>
        <v>13826.400000000001</v>
      </c>
      <c r="D39" s="78">
        <f>I39*0.2</f>
        <v>13826.400000000001</v>
      </c>
      <c r="E39" s="78">
        <f>I39*0.25</f>
        <v>17283</v>
      </c>
      <c r="F39" s="78">
        <f>+I39*0.15</f>
        <v>10369.799999999999</v>
      </c>
      <c r="G39" s="78">
        <f>+MAX(I39-C39-D39-E39-F39-H39,0)</f>
        <v>13826.399999999998</v>
      </c>
      <c r="H39" s="78">
        <f>+IFERROR(VLOOKUP(K40&amp;" - kapitálové transfery",B$53:C$90,2,0),0)</f>
        <v>0</v>
      </c>
      <c r="I39" s="73">
        <f>SUMIF(FP!K:K,K40,FP!D:D)</f>
        <v>69132</v>
      </c>
      <c r="L39" s="84">
        <f>COUNTIF(FP!N:N,Doklady!B1&amp;"aK")</f>
        <v>0</v>
      </c>
      <c r="T39" s="86"/>
    </row>
    <row r="40" spans="1:21" x14ac:dyDescent="0.2">
      <c r="A40" s="115" t="s">
        <v>339</v>
      </c>
      <c r="B40" s="116" t="s">
        <v>373</v>
      </c>
      <c r="C40" s="78">
        <f>DSUM(Doklady!A103:J10000,"GGG",Spolu!L40:M42)</f>
        <v>4522.18</v>
      </c>
      <c r="D40" s="78">
        <f>DSUM(Doklady!A103:J10000,"GGG",Spolu!N40:O42)</f>
        <v>10584.31</v>
      </c>
      <c r="E40" s="78">
        <f>DSUM(Doklady!A103:J10000,"GGG",Spolu!P40:Q42)</f>
        <v>12781.58</v>
      </c>
      <c r="F40" s="78">
        <f>DSUM(Doklady!A103:J10000,"GGG",Spolu!R40:S42)</f>
        <v>2881.2200000000003</v>
      </c>
      <c r="G40" s="78">
        <f>DSUM(Doklady!A103:J10000,"GGG",Spolu!T40:U42)-H40</f>
        <v>0</v>
      </c>
      <c r="H40" s="78">
        <f>+IFERROR(VLOOKUP(K40&amp;" - kapitálové transfery",B$53:D$90,3,0),0)</f>
        <v>0</v>
      </c>
      <c r="I40" s="73">
        <f>+C40+D40+E40+F40+G40+H40</f>
        <v>30769.29</v>
      </c>
      <c r="J40" s="218" t="str">
        <f>+K45</f>
        <v>.</v>
      </c>
      <c r="K40" s="218" t="str">
        <f>IF(L38&gt;0,INDEX(FP!K:K,Doklady!B2),".")</f>
        <v>športy s lietajúcim diskom</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9304.2200000000012</v>
      </c>
      <c r="D41" s="78">
        <f>MAX(D39-D40,0)</f>
        <v>3242.090000000002</v>
      </c>
      <c r="E41" s="78">
        <f>MAX(E39-E40,0)</f>
        <v>4501.42</v>
      </c>
      <c r="F41" s="78">
        <f>MIN(I39,MAX(-F39+F40,0))</f>
        <v>0</v>
      </c>
      <c r="G41" s="78">
        <f>MIN(J39,MAX(-G39+G40+MIN(F40-F39,0),0))</f>
        <v>0</v>
      </c>
      <c r="H41" s="78">
        <f>MAX(H39-H40,0)</f>
        <v>0</v>
      </c>
      <c r="I41" s="124">
        <f>+I39-I42</f>
        <v>38362.71</v>
      </c>
      <c r="J41" s="219">
        <f>+K46</f>
        <v>0</v>
      </c>
      <c r="K41" s="219">
        <f>+I41-H41</f>
        <v>38362.71</v>
      </c>
      <c r="L41" s="161" t="str">
        <f>IF(L38&gt;0,"a - "&amp;INDEX(FP!C:C,Doklady!B2),2)</f>
        <v>a - športy s lietajúcim diskom - bežné transfery</v>
      </c>
      <c r="M41" s="120">
        <v>1</v>
      </c>
      <c r="N41" s="161" t="str">
        <f>+L41</f>
        <v>a - športy s lietajúcim diskom - bežné transfery</v>
      </c>
      <c r="O41" s="120">
        <v>2</v>
      </c>
      <c r="P41" s="161" t="str">
        <f>+L41</f>
        <v>a - športy s lietajúcim diskom - bežné transfery</v>
      </c>
      <c r="Q41" s="120">
        <v>3</v>
      </c>
      <c r="R41" s="161" t="str">
        <f>+L41</f>
        <v>a - športy s lietajúcim diskom - bežné transfery</v>
      </c>
      <c r="S41" s="120">
        <v>4</v>
      </c>
      <c r="T41" s="161" t="str">
        <f>+L41</f>
        <v>a - športy s lietajúcim diskom - bežné transfery</v>
      </c>
      <c r="U41" s="120">
        <v>5</v>
      </c>
    </row>
    <row r="42" spans="1:21" ht="10.5" customHeight="1" x14ac:dyDescent="0.2">
      <c r="A42" s="115" t="s">
        <v>339</v>
      </c>
      <c r="B42" s="116" t="s">
        <v>376</v>
      </c>
      <c r="C42" s="73">
        <f>+C40</f>
        <v>4522.18</v>
      </c>
      <c r="D42" s="216">
        <f>+D40</f>
        <v>10584.31</v>
      </c>
      <c r="E42" s="216">
        <f>+E40</f>
        <v>12781.58</v>
      </c>
      <c r="F42" s="216">
        <f>+MIN(F39:F40)</f>
        <v>2881.2200000000003</v>
      </c>
      <c r="G42" s="216">
        <f>+MIN(G39+MAX(F39-F40,0)-MAX(E40-E39,0)-MAX(D40-D39,0)-MAX(C40-C39,0),G40)</f>
        <v>0</v>
      </c>
      <c r="H42" s="216">
        <f>+MIN(H39:H40)</f>
        <v>0</v>
      </c>
      <c r="I42" s="73">
        <f>+C42+D42+E42+MIN(F39:F40)+G42+H42</f>
        <v>30769.29</v>
      </c>
      <c r="J42" s="219">
        <f>+K47</f>
        <v>0</v>
      </c>
      <c r="K42" s="219">
        <f>+I42-H42</f>
        <v>30769.29</v>
      </c>
      <c r="L42" s="161" t="str">
        <f>+SUBSTITUTE(L41,"bežné","kapitálové")</f>
        <v>a - športy s lietajúcim diskom - kapitálové transfery</v>
      </c>
      <c r="M42" s="120">
        <v>1</v>
      </c>
      <c r="N42" s="161" t="str">
        <f>+L42</f>
        <v>a - športy s lietajúcim diskom - kapitálové transfery</v>
      </c>
      <c r="O42" s="120">
        <v>2</v>
      </c>
      <c r="P42" s="161" t="str">
        <f>+L42</f>
        <v>a - športy s lietajúcim diskom - kapitálové transfery</v>
      </c>
      <c r="Q42" s="120">
        <v>3</v>
      </c>
      <c r="R42" s="161" t="str">
        <f>+L42</f>
        <v>a - športy s lietajúcim diskom - kapitálové transfery</v>
      </c>
      <c r="S42" s="120">
        <v>4</v>
      </c>
      <c r="T42" s="161" t="str">
        <f>+L42</f>
        <v>a - športy s lietajúcim diskom - kapitálové transfery</v>
      </c>
      <c r="U42" s="120">
        <v>5</v>
      </c>
    </row>
    <row r="43" spans="1:21" ht="20.399999999999999"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športy s lietajúcim diskom - bežné transfery</v>
      </c>
      <c r="C53" s="73">
        <f>IF(A53&lt;&gt;"",INDEX(FP!D:D,Doklady!B$2+(ROW()-53)),"")</f>
        <v>69132</v>
      </c>
      <c r="D53" s="73">
        <f>IF(A53&lt;&gt;"",Doklady!I1-Doklady!J1,"")</f>
        <v>30769.29</v>
      </c>
      <c r="E53" s="73">
        <f>IF(A53&lt;&gt;"",MIN(D53,C53)*Doklady!C1/(1-Doklady!C1),"")</f>
        <v>0</v>
      </c>
      <c r="F53" s="71">
        <f>IF(A53&lt;&gt;"",Doklady!J1,"")</f>
        <v>0</v>
      </c>
      <c r="G53" s="73">
        <f>+IFERROR(HLOOKUP(IF(RIGHT(B53,15)="bežné transfery",LEFT(B53,LEN(B53)-18),0),$J$40:$K$42,3,0),MIN(C53,D53))</f>
        <v>30769.29</v>
      </c>
      <c r="H53" s="71"/>
      <c r="I53" s="73">
        <f>IF(A53&lt;&gt;"",MAX(IF(G53&lt;C53,C53-G53,0)+IF(F53&lt;E53,E53-F53,0),0),0)</f>
        <v>38362.71</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69132</v>
      </c>
      <c r="D130" s="228">
        <f t="shared" ref="D130:I130" si="9">SUM(D53:D129)</f>
        <v>30769.29</v>
      </c>
      <c r="E130" s="228">
        <f t="shared" si="9"/>
        <v>0</v>
      </c>
      <c r="F130" s="228">
        <f t="shared" si="9"/>
        <v>0</v>
      </c>
      <c r="G130" s="228">
        <f t="shared" si="9"/>
        <v>30769.29</v>
      </c>
      <c r="H130" s="228">
        <f t="shared" si="9"/>
        <v>0</v>
      </c>
      <c r="I130" s="228">
        <f t="shared" si="9"/>
        <v>38362.71</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79"/>
      <c r="C140" s="229"/>
      <c r="D140" s="372"/>
      <c r="E140" s="372"/>
      <c r="F140" s="372"/>
      <c r="G140" s="372"/>
      <c r="H140" s="372"/>
      <c r="I140" s="372"/>
      <c r="J140" s="85"/>
    </row>
    <row r="141" spans="1:26" ht="68.25" customHeight="1" x14ac:dyDescent="0.25">
      <c r="A141" s="9"/>
      <c r="B141" s="281" t="s">
        <v>393</v>
      </c>
      <c r="C141" s="214"/>
      <c r="D141" s="356" t="s">
        <v>394</v>
      </c>
      <c r="E141" s="356"/>
      <c r="F141" s="356"/>
      <c r="G141" s="356"/>
      <c r="H141" s="356"/>
      <c r="I141" s="356"/>
      <c r="J141" s="85"/>
    </row>
    <row r="142" spans="1:26" ht="13.2" x14ac:dyDescent="0.25">
      <c r="A142" s="9"/>
      <c r="B142" s="280"/>
      <c r="C142" s="214"/>
      <c r="D142" s="263"/>
      <c r="E142" s="263"/>
      <c r="F142" s="263"/>
      <c r="G142" s="263"/>
      <c r="H142" s="263"/>
      <c r="I142" s="263"/>
      <c r="J142" s="85"/>
    </row>
    <row r="143" spans="1:26" ht="13.2" x14ac:dyDescent="0.25">
      <c r="A143" s="9"/>
      <c r="B143" s="280"/>
      <c r="C143" s="214"/>
      <c r="D143" s="263"/>
      <c r="E143" s="263"/>
      <c r="F143" s="263"/>
      <c r="G143" s="263"/>
      <c r="H143" s="263"/>
      <c r="I143" s="263"/>
      <c r="J143" s="85"/>
    </row>
    <row r="144" spans="1:26" ht="13.2" x14ac:dyDescent="0.25">
      <c r="A144" s="9"/>
      <c r="B144" s="281"/>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9" zoomScaleNormal="100" workbookViewId="0">
      <selection activeCell="H128" sqref="H128"/>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športy s lietajúcim diskom - bežné transfery</v>
      </c>
      <c r="B1" s="232" t="str">
        <f>INDEX(Adr!A:A,B102+1)</f>
        <v>31749852</v>
      </c>
      <c r="C1" s="233">
        <f>IF(ROW()&lt;=B$3,INDEX(FP!E:E,B$2+ROW()-1),"")</f>
        <v>0</v>
      </c>
      <c r="D1" s="234" t="str">
        <f>IF(ROW()&lt;=B$3,INDEX(FP!F:F,B$2+ROW()-1),"")</f>
        <v>a</v>
      </c>
      <c r="E1" s="234"/>
      <c r="F1" s="234" t="str">
        <f>IF(ROW()&lt;=B$3,INDEX(FP!G:G,B$2+ROW()-1),"")</f>
        <v>026 02</v>
      </c>
      <c r="G1" s="234"/>
      <c r="H1" s="235" t="str">
        <f>IF(ROW()&lt;=B$3,INDEX(FP!C:C,B$2+ROW()-1),"")</f>
        <v>športy s lietajúcim diskom - bežné transfery</v>
      </c>
      <c r="I1" s="236">
        <f t="shared" ref="I1:I6" si="0">IF(ROW()&lt;=B$3,SUMIF(A$107:A$10042,A1,I$107:I$10042),"")</f>
        <v>30769.29</v>
      </c>
      <c r="J1" s="236">
        <f t="shared" ref="J1:J32" si="1">IF(ROW()&lt;=B$3,SUMIFS(I$103:I$50042,A$103:A$50042,K1,J$103:J$50042,L1),"")</f>
        <v>0</v>
      </c>
      <c r="K1" s="110" t="str">
        <f>$A1</f>
        <v>a - športy s lietajúcim diskom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109</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73" t="s">
        <v>329</v>
      </c>
      <c r="B100" s="373"/>
      <c r="C100" s="373"/>
      <c r="D100" s="373"/>
      <c r="E100" s="373"/>
      <c r="F100" s="373"/>
      <c r="G100" s="373"/>
      <c r="H100" s="373"/>
      <c r="I100" s="375" t="s">
        <v>2992</v>
      </c>
      <c r="J100" s="375"/>
      <c r="K100" s="89"/>
    </row>
    <row r="101" spans="1:25" ht="15.6" x14ac:dyDescent="0.3">
      <c r="A101" s="373"/>
      <c r="B101" s="373"/>
      <c r="C101" s="373"/>
      <c r="D101" s="373"/>
      <c r="E101" s="373"/>
      <c r="F101" s="373"/>
      <c r="G101" s="373"/>
      <c r="H101" s="373"/>
      <c r="I101" s="374">
        <v>45961</v>
      </c>
      <c r="J101" s="374"/>
    </row>
    <row r="102" spans="1:25" ht="13.8" x14ac:dyDescent="0.25">
      <c r="A102" s="249" t="s">
        <v>399</v>
      </c>
      <c r="B102" s="250">
        <v>88</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0.6" x14ac:dyDescent="0.25">
      <c r="A107" s="14" t="s">
        <v>2997</v>
      </c>
      <c r="B107" s="14" t="s">
        <v>3015</v>
      </c>
      <c r="C107" s="14">
        <v>250100027</v>
      </c>
      <c r="D107" s="16" t="s">
        <v>3016</v>
      </c>
      <c r="E107" s="16"/>
      <c r="F107" s="14" t="s">
        <v>3017</v>
      </c>
      <c r="G107" s="14" t="s">
        <v>2998</v>
      </c>
      <c r="H107" s="14" t="s">
        <v>2999</v>
      </c>
      <c r="I107" s="15">
        <v>844.96</v>
      </c>
      <c r="J107" s="77">
        <v>3</v>
      </c>
      <c r="K107" s="92"/>
    </row>
    <row r="108" spans="1:25" ht="13.2" x14ac:dyDescent="0.25">
      <c r="A108" s="14" t="s">
        <v>2997</v>
      </c>
      <c r="B108" s="14" t="s">
        <v>3002</v>
      </c>
      <c r="C108" s="14" t="s">
        <v>3002</v>
      </c>
      <c r="D108" s="16" t="s">
        <v>3018</v>
      </c>
      <c r="E108" s="16"/>
      <c r="F108" s="14" t="s">
        <v>3021</v>
      </c>
      <c r="G108" s="14"/>
      <c r="H108" s="14" t="s">
        <v>3000</v>
      </c>
      <c r="I108" s="15">
        <v>1096.96</v>
      </c>
      <c r="J108" s="77">
        <v>3</v>
      </c>
      <c r="K108" s="92"/>
    </row>
    <row r="109" spans="1:25" ht="20.399999999999999" x14ac:dyDescent="0.25">
      <c r="A109" s="14" t="s">
        <v>2997</v>
      </c>
      <c r="B109" s="14" t="s">
        <v>3003</v>
      </c>
      <c r="C109" s="14" t="s">
        <v>3003</v>
      </c>
      <c r="D109" s="16" t="s">
        <v>3018</v>
      </c>
      <c r="E109" s="16"/>
      <c r="F109" s="14" t="s">
        <v>3039</v>
      </c>
      <c r="G109" s="14"/>
      <c r="H109" s="14" t="s">
        <v>3040</v>
      </c>
      <c r="I109" s="15">
        <v>478.33</v>
      </c>
      <c r="J109" s="77">
        <v>2</v>
      </c>
      <c r="K109" s="92"/>
    </row>
    <row r="110" spans="1:25" ht="20.399999999999999" x14ac:dyDescent="0.25">
      <c r="A110" s="14" t="s">
        <v>2997</v>
      </c>
      <c r="B110" s="14" t="s">
        <v>3004</v>
      </c>
      <c r="C110" s="14">
        <v>132025</v>
      </c>
      <c r="D110" s="16" t="s">
        <v>3019</v>
      </c>
      <c r="E110" s="16"/>
      <c r="F110" s="14" t="s">
        <v>3041</v>
      </c>
      <c r="G110" s="14" t="s">
        <v>3043</v>
      </c>
      <c r="H110" s="14" t="s">
        <v>3042</v>
      </c>
      <c r="I110" s="15">
        <v>650</v>
      </c>
      <c r="J110" s="77">
        <v>3</v>
      </c>
      <c r="K110" s="92"/>
    </row>
    <row r="111" spans="1:25" ht="13.2" x14ac:dyDescent="0.25">
      <c r="A111" s="14" t="s">
        <v>2997</v>
      </c>
      <c r="B111" s="14" t="s">
        <v>3005</v>
      </c>
      <c r="C111" s="14" t="s">
        <v>3005</v>
      </c>
      <c r="D111" s="16" t="s">
        <v>3020</v>
      </c>
      <c r="E111" s="16"/>
      <c r="F111" s="14" t="s">
        <v>3021</v>
      </c>
      <c r="G111" s="14"/>
      <c r="H111" s="14" t="s">
        <v>3001</v>
      </c>
      <c r="I111" s="15">
        <v>1910.42</v>
      </c>
      <c r="J111" s="77">
        <v>3</v>
      </c>
      <c r="K111" s="92"/>
    </row>
    <row r="112" spans="1:25" ht="20.399999999999999" x14ac:dyDescent="0.25">
      <c r="A112" s="14" t="s">
        <v>2997</v>
      </c>
      <c r="B112" s="14" t="s">
        <v>3006</v>
      </c>
      <c r="C112" s="14" t="s">
        <v>3006</v>
      </c>
      <c r="D112" s="16" t="s">
        <v>3022</v>
      </c>
      <c r="E112" s="16"/>
      <c r="F112" s="14" t="s">
        <v>3044</v>
      </c>
      <c r="G112" s="14"/>
      <c r="H112" s="14" t="s">
        <v>3001</v>
      </c>
      <c r="I112" s="15">
        <v>1399.82</v>
      </c>
      <c r="J112" s="77">
        <v>3</v>
      </c>
      <c r="K112" s="92"/>
    </row>
    <row r="113" spans="1:11" ht="30.6" x14ac:dyDescent="0.25">
      <c r="A113" s="14" t="s">
        <v>2997</v>
      </c>
      <c r="B113" s="14" t="s">
        <v>3007</v>
      </c>
      <c r="C113" s="14" t="s">
        <v>3007</v>
      </c>
      <c r="D113" s="16" t="s">
        <v>3023</v>
      </c>
      <c r="E113" s="16"/>
      <c r="F113" s="14" t="s">
        <v>3024</v>
      </c>
      <c r="G113" s="14"/>
      <c r="H113" s="14" t="s">
        <v>3001</v>
      </c>
      <c r="I113" s="15">
        <v>600</v>
      </c>
      <c r="J113" s="77">
        <v>2</v>
      </c>
      <c r="K113" s="92"/>
    </row>
    <row r="114" spans="1:11" ht="30.6" x14ac:dyDescent="0.25">
      <c r="A114" s="14" t="s">
        <v>2997</v>
      </c>
      <c r="B114" s="14" t="s">
        <v>3007</v>
      </c>
      <c r="C114" s="14" t="s">
        <v>3007</v>
      </c>
      <c r="D114" s="16" t="s">
        <v>3023</v>
      </c>
      <c r="E114" s="16"/>
      <c r="F114" s="14" t="s">
        <v>3024</v>
      </c>
      <c r="G114" s="14"/>
      <c r="H114" s="14" t="s">
        <v>3001</v>
      </c>
      <c r="I114" s="15">
        <v>4812.3500000000004</v>
      </c>
      <c r="J114" s="77">
        <v>3</v>
      </c>
      <c r="K114" s="92"/>
    </row>
    <row r="115" spans="1:11" ht="13.2" x14ac:dyDescent="0.25">
      <c r="A115" s="14" t="s">
        <v>2997</v>
      </c>
      <c r="B115" s="14" t="s">
        <v>3008</v>
      </c>
      <c r="C115" s="14" t="s">
        <v>3008</v>
      </c>
      <c r="D115" s="16" t="s">
        <v>3046</v>
      </c>
      <c r="E115" s="16" t="s">
        <v>3023</v>
      </c>
      <c r="F115" s="14" t="s">
        <v>3045</v>
      </c>
      <c r="G115" s="14"/>
      <c r="H115" s="14" t="s">
        <v>3047</v>
      </c>
      <c r="I115" s="15">
        <v>715.38</v>
      </c>
      <c r="J115" s="77">
        <v>2</v>
      </c>
      <c r="K115" s="92"/>
    </row>
    <row r="116" spans="1:11" ht="20.399999999999999" x14ac:dyDescent="0.25">
      <c r="A116" s="14" t="s">
        <v>2997</v>
      </c>
      <c r="B116" s="14" t="s">
        <v>3009</v>
      </c>
      <c r="C116" s="14">
        <v>202500194</v>
      </c>
      <c r="D116" s="16" t="s">
        <v>3025</v>
      </c>
      <c r="E116" s="16"/>
      <c r="F116" s="14" t="s">
        <v>3049</v>
      </c>
      <c r="G116" s="14" t="s">
        <v>480</v>
      </c>
      <c r="H116" s="14" t="s">
        <v>3048</v>
      </c>
      <c r="I116" s="15">
        <v>200</v>
      </c>
      <c r="J116" s="77">
        <v>2</v>
      </c>
      <c r="K116" s="92"/>
    </row>
    <row r="117" spans="1:11" ht="20.399999999999999" x14ac:dyDescent="0.25">
      <c r="A117" s="14" t="s">
        <v>2997</v>
      </c>
      <c r="B117" s="14" t="s">
        <v>3010</v>
      </c>
      <c r="C117" s="14">
        <v>2025034</v>
      </c>
      <c r="D117" s="16" t="s">
        <v>3026</v>
      </c>
      <c r="E117" s="16"/>
      <c r="F117" s="14" t="s">
        <v>3052</v>
      </c>
      <c r="G117" s="14" t="s">
        <v>3051</v>
      </c>
      <c r="H117" s="14" t="s">
        <v>3050</v>
      </c>
      <c r="I117" s="15">
        <v>200</v>
      </c>
      <c r="J117" s="77">
        <v>2</v>
      </c>
      <c r="K117" s="92"/>
    </row>
    <row r="118" spans="1:11" ht="30.6" x14ac:dyDescent="0.25">
      <c r="A118" s="14" t="s">
        <v>2997</v>
      </c>
      <c r="B118" s="14" t="s">
        <v>3011</v>
      </c>
      <c r="C118" s="14">
        <v>2025090001</v>
      </c>
      <c r="D118" s="16" t="s">
        <v>3027</v>
      </c>
      <c r="E118" s="16"/>
      <c r="F118" s="14" t="s">
        <v>3054</v>
      </c>
      <c r="G118" s="14">
        <v>42331340</v>
      </c>
      <c r="H118" s="14" t="s">
        <v>3053</v>
      </c>
      <c r="I118" s="15">
        <v>1536</v>
      </c>
      <c r="J118" s="77">
        <v>2</v>
      </c>
      <c r="K118" s="92"/>
    </row>
    <row r="119" spans="1:11" ht="13.2" x14ac:dyDescent="0.25">
      <c r="A119" s="14" t="s">
        <v>2997</v>
      </c>
      <c r="B119" s="14" t="s">
        <v>3012</v>
      </c>
      <c r="C119" s="14">
        <v>2025090215</v>
      </c>
      <c r="D119" s="16" t="s">
        <v>3027</v>
      </c>
      <c r="E119" s="16"/>
      <c r="F119" s="14" t="s">
        <v>3057</v>
      </c>
      <c r="G119" s="14" t="s">
        <v>3056</v>
      </c>
      <c r="H119" s="14" t="s">
        <v>3055</v>
      </c>
      <c r="I119" s="15">
        <v>1054.9000000000001</v>
      </c>
      <c r="J119" s="77">
        <v>2</v>
      </c>
      <c r="K119" s="92"/>
    </row>
    <row r="120" spans="1:11" ht="13.2" x14ac:dyDescent="0.25">
      <c r="A120" s="14" t="s">
        <v>2997</v>
      </c>
      <c r="B120" s="14" t="s">
        <v>3013</v>
      </c>
      <c r="C120" s="14" t="s">
        <v>3013</v>
      </c>
      <c r="D120" s="16" t="s">
        <v>3027</v>
      </c>
      <c r="E120" s="16"/>
      <c r="F120" s="14" t="s">
        <v>3058</v>
      </c>
      <c r="G120" s="14"/>
      <c r="H120" s="14" t="s">
        <v>3059</v>
      </c>
      <c r="I120" s="15">
        <v>203.02</v>
      </c>
      <c r="J120" s="77">
        <v>4</v>
      </c>
      <c r="K120" s="92"/>
    </row>
    <row r="121" spans="1:11" ht="13.2" x14ac:dyDescent="0.25">
      <c r="A121" s="14" t="s">
        <v>2997</v>
      </c>
      <c r="B121" s="14" t="s">
        <v>3014</v>
      </c>
      <c r="C121" s="14" t="s">
        <v>3014</v>
      </c>
      <c r="D121" s="16" t="s">
        <v>3027</v>
      </c>
      <c r="E121" s="16"/>
      <c r="F121" s="14" t="s">
        <v>3058</v>
      </c>
      <c r="G121" s="14"/>
      <c r="H121" s="14" t="s">
        <v>3059</v>
      </c>
      <c r="I121" s="15">
        <v>202.13</v>
      </c>
      <c r="J121" s="77">
        <v>4</v>
      </c>
      <c r="K121" s="92"/>
    </row>
    <row r="122" spans="1:11" ht="13.2" x14ac:dyDescent="0.25">
      <c r="A122" s="14" t="s">
        <v>2997</v>
      </c>
      <c r="B122" s="14"/>
      <c r="C122" s="14"/>
      <c r="D122" s="16" t="s">
        <v>3028</v>
      </c>
      <c r="E122" s="16"/>
      <c r="F122" s="14"/>
      <c r="G122" s="14"/>
      <c r="H122" s="14"/>
      <c r="I122" s="15">
        <v>1200</v>
      </c>
      <c r="J122" s="77">
        <v>4</v>
      </c>
      <c r="K122" s="92"/>
    </row>
    <row r="123" spans="1:11" ht="13.2" x14ac:dyDescent="0.25">
      <c r="A123" s="14" t="s">
        <v>2997</v>
      </c>
      <c r="B123" s="14"/>
      <c r="C123" s="14"/>
      <c r="D123" s="16" t="s">
        <v>3028</v>
      </c>
      <c r="E123" s="16"/>
      <c r="F123" s="14"/>
      <c r="G123" s="14"/>
      <c r="H123" s="14"/>
      <c r="I123" s="15">
        <v>1098.07</v>
      </c>
      <c r="J123" s="77">
        <v>3</v>
      </c>
      <c r="K123" s="92"/>
    </row>
    <row r="124" spans="1:11" ht="13.2" x14ac:dyDescent="0.25">
      <c r="A124" s="14" t="s">
        <v>2997</v>
      </c>
      <c r="B124" s="14"/>
      <c r="C124" s="14"/>
      <c r="D124" s="16" t="s">
        <v>3028</v>
      </c>
      <c r="E124" s="16"/>
      <c r="F124" s="14"/>
      <c r="G124" s="14"/>
      <c r="H124" s="14"/>
      <c r="I124" s="15">
        <v>513.16999999999996</v>
      </c>
      <c r="J124" s="77">
        <v>3</v>
      </c>
      <c r="K124" s="92"/>
    </row>
    <row r="125" spans="1:11" ht="13.2" x14ac:dyDescent="0.25">
      <c r="A125" s="14" t="s">
        <v>2997</v>
      </c>
      <c r="B125" s="14"/>
      <c r="C125" s="14"/>
      <c r="D125" s="16" t="s">
        <v>3028</v>
      </c>
      <c r="E125" s="16"/>
      <c r="F125" s="14"/>
      <c r="G125" s="14"/>
      <c r="H125" s="14"/>
      <c r="I125" s="15">
        <v>455.83</v>
      </c>
      <c r="J125" s="77">
        <v>3</v>
      </c>
      <c r="K125" s="92"/>
    </row>
    <row r="126" spans="1:11" ht="13.2" x14ac:dyDescent="0.25">
      <c r="A126" s="14" t="s">
        <v>2997</v>
      </c>
      <c r="B126" s="14"/>
      <c r="C126" s="14"/>
      <c r="D126" s="16" t="s">
        <v>3029</v>
      </c>
      <c r="E126" s="16"/>
      <c r="F126" s="14"/>
      <c r="G126" s="14"/>
      <c r="H126" s="14"/>
      <c r="I126" s="15">
        <v>133.9</v>
      </c>
      <c r="J126" s="77">
        <v>2</v>
      </c>
      <c r="K126" s="92"/>
    </row>
    <row r="127" spans="1:11" ht="13.2" x14ac:dyDescent="0.25">
      <c r="A127" s="14" t="s">
        <v>2997</v>
      </c>
      <c r="B127" s="14"/>
      <c r="C127" s="14"/>
      <c r="D127" s="16" t="s">
        <v>3030</v>
      </c>
      <c r="E127" s="16"/>
      <c r="F127" s="14"/>
      <c r="G127" s="14"/>
      <c r="H127" s="14"/>
      <c r="I127" s="15">
        <v>3000</v>
      </c>
      <c r="J127" s="77">
        <v>2</v>
      </c>
      <c r="K127" s="92"/>
    </row>
    <row r="128" spans="1:11" ht="13.2" x14ac:dyDescent="0.25">
      <c r="A128" s="14" t="s">
        <v>2997</v>
      </c>
      <c r="B128" s="14"/>
      <c r="C128" s="14"/>
      <c r="D128" s="16" t="s">
        <v>3031</v>
      </c>
      <c r="E128" s="16"/>
      <c r="F128" s="14"/>
      <c r="G128" s="14"/>
      <c r="H128" s="14"/>
      <c r="I128" s="15">
        <v>3846.63</v>
      </c>
      <c r="J128" s="77">
        <v>1</v>
      </c>
      <c r="K128" s="92"/>
    </row>
    <row r="129" spans="1:11" ht="13.2" x14ac:dyDescent="0.25">
      <c r="A129" s="14" t="s">
        <v>2997</v>
      </c>
      <c r="B129" s="14"/>
      <c r="C129" s="14"/>
      <c r="D129" s="16" t="s">
        <v>3032</v>
      </c>
      <c r="E129" s="16"/>
      <c r="F129" s="14"/>
      <c r="G129" s="14"/>
      <c r="H129" s="14"/>
      <c r="I129" s="15">
        <v>560</v>
      </c>
      <c r="J129" s="77">
        <v>2</v>
      </c>
      <c r="K129" s="92"/>
    </row>
    <row r="130" spans="1:11" ht="13.2" x14ac:dyDescent="0.25">
      <c r="A130" s="14" t="s">
        <v>2997</v>
      </c>
      <c r="B130" s="14"/>
      <c r="C130" s="14"/>
      <c r="D130" s="16" t="s">
        <v>3033</v>
      </c>
      <c r="E130" s="16"/>
      <c r="F130" s="14"/>
      <c r="G130" s="14"/>
      <c r="H130" s="14"/>
      <c r="I130" s="15">
        <v>35.82</v>
      </c>
      <c r="J130" s="77">
        <v>2</v>
      </c>
      <c r="K130" s="92"/>
    </row>
    <row r="131" spans="1:11" ht="13.2" x14ac:dyDescent="0.25">
      <c r="A131" s="14" t="s">
        <v>2997</v>
      </c>
      <c r="B131" s="14"/>
      <c r="C131" s="14"/>
      <c r="D131" s="16" t="s">
        <v>3034</v>
      </c>
      <c r="E131" s="16"/>
      <c r="F131" s="14"/>
      <c r="G131" s="14"/>
      <c r="H131" s="14"/>
      <c r="I131" s="15">
        <v>35.15</v>
      </c>
      <c r="J131" s="77">
        <v>2</v>
      </c>
      <c r="K131" s="92"/>
    </row>
    <row r="132" spans="1:11" ht="13.2" x14ac:dyDescent="0.25">
      <c r="A132" s="14" t="s">
        <v>2997</v>
      </c>
      <c r="B132" s="14"/>
      <c r="C132" s="14"/>
      <c r="D132" s="16" t="s">
        <v>3034</v>
      </c>
      <c r="E132" s="16"/>
      <c r="F132" s="14"/>
      <c r="G132" s="14"/>
      <c r="H132" s="14"/>
      <c r="I132" s="15">
        <v>34.83</v>
      </c>
      <c r="J132" s="77">
        <v>2</v>
      </c>
      <c r="K132" s="92"/>
    </row>
    <row r="133" spans="1:11" ht="13.2" x14ac:dyDescent="0.25">
      <c r="A133" s="14" t="s">
        <v>2997</v>
      </c>
      <c r="B133" s="14"/>
      <c r="C133" s="14"/>
      <c r="D133" s="16" t="s">
        <v>3035</v>
      </c>
      <c r="E133" s="16"/>
      <c r="F133" s="14"/>
      <c r="G133" s="14"/>
      <c r="H133" s="14"/>
      <c r="I133" s="15">
        <v>1080</v>
      </c>
      <c r="J133" s="77">
        <v>4</v>
      </c>
      <c r="K133" s="92"/>
    </row>
    <row r="134" spans="1:11" ht="13.2" x14ac:dyDescent="0.25">
      <c r="A134" s="14" t="s">
        <v>2997</v>
      </c>
      <c r="B134" s="14"/>
      <c r="C134" s="14"/>
      <c r="D134" s="16" t="s">
        <v>3035</v>
      </c>
      <c r="E134" s="16"/>
      <c r="F134" s="14"/>
      <c r="G134" s="14"/>
      <c r="H134" s="14"/>
      <c r="I134" s="15">
        <v>469.1</v>
      </c>
      <c r="J134" s="77">
        <v>1</v>
      </c>
      <c r="K134" s="92"/>
    </row>
    <row r="135" spans="1:11" ht="13.2" x14ac:dyDescent="0.25">
      <c r="A135" s="14" t="s">
        <v>2997</v>
      </c>
      <c r="B135" s="14"/>
      <c r="C135" s="14"/>
      <c r="D135" s="16" t="s">
        <v>3036</v>
      </c>
      <c r="E135" s="16"/>
      <c r="F135" s="14"/>
      <c r="G135" s="14"/>
      <c r="H135" s="14"/>
      <c r="I135" s="15">
        <v>2000</v>
      </c>
      <c r="J135" s="77">
        <v>2</v>
      </c>
      <c r="K135" s="92"/>
    </row>
    <row r="136" spans="1:11" ht="13.2" x14ac:dyDescent="0.25">
      <c r="A136" s="14" t="s">
        <v>2997</v>
      </c>
      <c r="B136" s="14"/>
      <c r="C136" s="14"/>
      <c r="D136" s="16" t="s">
        <v>3037</v>
      </c>
      <c r="E136" s="16"/>
      <c r="F136" s="14"/>
      <c r="G136" s="14"/>
      <c r="H136" s="14"/>
      <c r="I136" s="15">
        <v>206.45</v>
      </c>
      <c r="J136" s="77">
        <v>1</v>
      </c>
      <c r="K136" s="92"/>
    </row>
    <row r="137" spans="1:11" ht="13.2" x14ac:dyDescent="0.25">
      <c r="A137" s="14" t="s">
        <v>2997</v>
      </c>
      <c r="B137" s="14"/>
      <c r="C137" s="14"/>
      <c r="D137" s="16" t="s">
        <v>3038</v>
      </c>
      <c r="E137" s="16"/>
      <c r="F137" s="14"/>
      <c r="G137" s="14"/>
      <c r="H137" s="14"/>
      <c r="I137" s="15">
        <v>196.07</v>
      </c>
      <c r="J137" s="77">
        <v>4</v>
      </c>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3.2"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2"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3.2" x14ac:dyDescent="0.2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3.2" x14ac:dyDescent="0.2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3.2" x14ac:dyDescent="0.2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3.2" x14ac:dyDescent="0.2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3.2" x14ac:dyDescent="0.2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3.2" x14ac:dyDescent="0.2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3.2" x14ac:dyDescent="0.2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3.2"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0.399999999999999"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0.399999999999999"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3.2"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3.2"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3.2"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0.399999999999999"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3.2" x14ac:dyDescent="0.25">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3.2" x14ac:dyDescent="0.25">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3.2" x14ac:dyDescent="0.25">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3.2" x14ac:dyDescent="0.25">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3.2" x14ac:dyDescent="0.25">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3.2" x14ac:dyDescent="0.25">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3.2" x14ac:dyDescent="0.25">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3.2" x14ac:dyDescent="0.25">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3.2" x14ac:dyDescent="0.25">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3.2" x14ac:dyDescent="0.25">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3.2" x14ac:dyDescent="0.25">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399999999999999"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0.399999999999999"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399999999999999"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399999999999999"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399999999999999"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0" t="str">
        <f>Spolu!C3&amp;", "&amp;Spolu!C6</f>
        <v>Slovenská asociácia Frisbee, Malženice 511, Malženice, 919 29</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1252</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0"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1670</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3">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2"/>
      <c r="N17" s="137" t="str">
        <f t="shared" si="0"/>
        <v xml:space="preserve">q - </v>
      </c>
      <c r="O17" s="137" t="s">
        <v>367</v>
      </c>
    </row>
    <row r="18" spans="1:16" x14ac:dyDescent="0.25">
      <c r="B18" s="193" t="s">
        <v>1275</v>
      </c>
      <c r="C18" s="142" t="str">
        <f>Spolu!C4</f>
        <v>31749852</v>
      </c>
      <c r="E18" s="147" t="s">
        <v>1276</v>
      </c>
      <c r="F18" s="282">
        <v>421947749446</v>
      </c>
      <c r="N18" s="137" t="str">
        <f t="shared" si="0"/>
        <v xml:space="preserve">r - </v>
      </c>
      <c r="O18" s="137" t="s">
        <v>368</v>
      </c>
    </row>
    <row r="19" spans="1:16" x14ac:dyDescent="0.25">
      <c r="E19" s="147" t="s">
        <v>1277</v>
      </c>
      <c r="F19" s="282">
        <v>421947749756</v>
      </c>
    </row>
    <row r="20" spans="1:16" ht="15.6" thickBot="1" x14ac:dyDescent="0.3">
      <c r="A20" s="139" t="s">
        <v>392</v>
      </c>
      <c r="B20" s="143">
        <f>F6</f>
        <v>0</v>
      </c>
      <c r="E20" s="208"/>
      <c r="F20" s="283"/>
    </row>
    <row r="21" spans="1:16" ht="189" customHeight="1" x14ac:dyDescent="0.25">
      <c r="B21" s="211"/>
      <c r="C21" s="144"/>
    </row>
    <row r="22" spans="1:16" ht="39.75" customHeight="1" x14ac:dyDescent="0.25">
      <c r="B22" s="379" t="s">
        <v>1278</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'Avízo - vratka'!Print_Area</vt:lpstr>
      <vt:lpstr>'Avízo - výnosy'!Print_Area</vt:lpstr>
      <vt:lpstr>Doklady!Print_Area</vt:lpstr>
      <vt:lpstr>Príjmy!Print_Area</vt:lpstr>
      <vt:lpstr>Príklady!Print_Area</vt:lpstr>
      <vt:lpstr>Skratky!Print_Area</vt:lpstr>
      <vt:lpstr>Spolu!Print_Area</vt:lpstr>
      <vt:lpstr>Usmernenie!Print_Area</vt:lpstr>
      <vt:lpstr>Doklady!Print_Titles</vt:lpstr>
      <vt:lpstr>Príklady!Print_Titles</vt:lpstr>
      <vt:lpstr>Spolu!Print_Titles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Rada mládeže Slovenska RmS</cp:lastModifiedBy>
  <cp:revision/>
  <cp:lastPrinted>2025-01-23T13:30:36Z</cp:lastPrinted>
  <dcterms:created xsi:type="dcterms:W3CDTF">2017-02-20T06:20:12Z</dcterms:created>
  <dcterms:modified xsi:type="dcterms:W3CDTF">2025-11-09T20:56:30Z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